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ile Cap Excel\"/>
    </mc:Choice>
  </mc:AlternateContent>
  <bookViews>
    <workbookView xWindow="0" yWindow="0" windowWidth="20490" windowHeight="7455"/>
  </bookViews>
  <sheets>
    <sheet name="3 PILE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49" i="1" s="1"/>
  <c r="C97" i="1"/>
  <c r="C95" i="1"/>
  <c r="L80" i="1"/>
  <c r="L34" i="1" s="1"/>
  <c r="J71" i="1"/>
  <c r="J70" i="1"/>
  <c r="O69" i="1"/>
  <c r="P69" i="1" s="1"/>
  <c r="O63" i="1"/>
  <c r="C71" i="1" s="1"/>
  <c r="O62" i="1"/>
  <c r="K58" i="1"/>
  <c r="J58" i="1"/>
  <c r="I58" i="1"/>
  <c r="C53" i="1"/>
  <c r="J51" i="1"/>
  <c r="I51" i="1"/>
  <c r="H50" i="1"/>
  <c r="G50" i="1"/>
  <c r="K49" i="1"/>
  <c r="H49" i="1"/>
  <c r="G49" i="1"/>
  <c r="C49" i="1"/>
  <c r="K47" i="1"/>
  <c r="J47" i="1"/>
  <c r="L44" i="1"/>
  <c r="L32" i="1"/>
  <c r="L31" i="1"/>
  <c r="L30" i="1"/>
  <c r="H23" i="1"/>
  <c r="L22" i="1"/>
  <c r="C18" i="1"/>
  <c r="P95" i="1" s="1"/>
  <c r="E17" i="1"/>
  <c r="E16" i="1"/>
  <c r="K51" i="1"/>
  <c r="C50" i="1"/>
  <c r="I49" i="1"/>
  <c r="I47" i="1"/>
  <c r="L23" i="1" l="1"/>
  <c r="G53" i="1"/>
  <c r="I59" i="1" s="1"/>
  <c r="P63" i="1"/>
  <c r="G71" i="1" s="1"/>
  <c r="Q69" i="1"/>
  <c r="E84" i="1"/>
  <c r="C91" i="1" s="1"/>
  <c r="K59" i="1"/>
  <c r="O93" i="1"/>
  <c r="P96" i="1"/>
  <c r="H96" i="1" s="1"/>
  <c r="P62" i="1"/>
  <c r="J59" i="1" l="1"/>
  <c r="D57" i="1" s="1"/>
  <c r="O74" i="1"/>
  <c r="E86" i="1" s="1"/>
  <c r="C61" i="1"/>
  <c r="C87" i="1"/>
  <c r="P74" i="1"/>
  <c r="E90" i="1" s="1"/>
  <c r="E61" i="1"/>
  <c r="C60" i="1"/>
  <c r="E59" i="1"/>
  <c r="D60" i="1"/>
  <c r="D59" i="1"/>
  <c r="D61" i="1"/>
  <c r="E60" i="1"/>
  <c r="C59" i="1"/>
  <c r="D58" i="1" l="1"/>
  <c r="I28" i="1" s="1"/>
  <c r="I27" i="1"/>
  <c r="C57" i="1"/>
  <c r="E57" i="1"/>
  <c r="C86" i="1"/>
  <c r="O76" i="1"/>
  <c r="O77" i="1" s="1"/>
  <c r="C67" i="1"/>
  <c r="C70" i="1" s="1"/>
  <c r="C66" i="1"/>
  <c r="P76" i="1"/>
  <c r="P77" i="1" s="1"/>
  <c r="C65" i="1"/>
  <c r="C90" i="1"/>
  <c r="E67" i="1"/>
  <c r="E66" i="1"/>
  <c r="G66" i="1"/>
  <c r="G67" i="1"/>
  <c r="E58" i="1" l="1"/>
  <c r="J28" i="1" s="1"/>
  <c r="J27" i="1"/>
  <c r="F57" i="1"/>
  <c r="H27" i="1"/>
  <c r="C58" i="1"/>
  <c r="F60" i="1" s="1"/>
  <c r="H90" i="1"/>
  <c r="C42" i="1"/>
  <c r="H86" i="1"/>
  <c r="C34" i="1"/>
  <c r="O64" i="1"/>
  <c r="O65" i="1" s="1"/>
  <c r="O66" i="1" s="1"/>
  <c r="C30" i="1"/>
  <c r="G65" i="1"/>
  <c r="E65" i="1"/>
  <c r="G70" i="1" s="1"/>
  <c r="H28" i="1" l="1"/>
  <c r="F58" i="1"/>
  <c r="P64" i="1"/>
  <c r="P65" i="1" s="1"/>
  <c r="P66" i="1" s="1"/>
  <c r="C38" i="1"/>
  <c r="O75" i="1"/>
  <c r="O67" i="1"/>
  <c r="O70" i="1" l="1"/>
  <c r="O68" i="1" s="1"/>
  <c r="O78" i="1"/>
  <c r="O79" i="1" s="1"/>
  <c r="O80" i="1" s="1"/>
  <c r="P75" i="1"/>
  <c r="P67" i="1"/>
  <c r="D70" i="1"/>
  <c r="Q68" i="1"/>
  <c r="P70" i="1" l="1"/>
  <c r="P68" i="1" s="1"/>
  <c r="R68" i="1" s="1"/>
  <c r="P78" i="1"/>
  <c r="P79" i="1" s="1"/>
  <c r="P80" i="1" s="1"/>
  <c r="O81" i="1"/>
  <c r="O82" i="1" s="1"/>
  <c r="O83" i="1" s="1"/>
  <c r="O84" i="1" s="1"/>
  <c r="C81" i="1"/>
  <c r="E88" i="1" l="1"/>
  <c r="O85" i="1"/>
  <c r="C85" i="1" s="1"/>
  <c r="H70" i="1"/>
  <c r="C72" i="1" l="1"/>
  <c r="G81" i="1"/>
  <c r="P81" i="1"/>
  <c r="P82" i="1" s="1"/>
  <c r="P83" i="1" s="1"/>
  <c r="P84" i="1" s="1"/>
  <c r="H31" i="1"/>
  <c r="E92" i="1" l="1"/>
  <c r="P85" i="1"/>
  <c r="C89" i="1" s="1"/>
  <c r="E87" i="1"/>
  <c r="C73" i="1"/>
  <c r="C74" i="1" s="1"/>
  <c r="C75" i="1" s="1"/>
  <c r="C76" i="1" l="1"/>
  <c r="C77" i="1" s="1"/>
  <c r="C31" i="1"/>
  <c r="G72" i="1"/>
  <c r="H39" i="1"/>
  <c r="E91" i="1" l="1"/>
  <c r="G73" i="1"/>
  <c r="G74" i="1" s="1"/>
  <c r="G75" i="1" s="1"/>
  <c r="H95" i="1"/>
  <c r="O94" i="1"/>
  <c r="C96" i="1"/>
  <c r="D97" i="1" s="1"/>
  <c r="I34" i="1"/>
  <c r="D82" i="1"/>
  <c r="D32" i="1" s="1"/>
  <c r="C78" i="1"/>
  <c r="C82" i="1"/>
  <c r="G76" i="1" l="1"/>
  <c r="G77" i="1" s="1"/>
  <c r="C39" i="1"/>
  <c r="E32" i="1"/>
  <c r="G86" i="1"/>
  <c r="G87" i="1" s="1"/>
  <c r="C88" i="1" s="1"/>
  <c r="C79" i="1"/>
  <c r="O95" i="1"/>
  <c r="O96" i="1"/>
  <c r="F94" i="1"/>
  <c r="G88" i="1" l="1"/>
  <c r="C35" i="1"/>
  <c r="F95" i="1"/>
  <c r="F96" i="1" s="1"/>
  <c r="I42" i="1"/>
  <c r="H82" i="1"/>
  <c r="D40" i="1" s="1"/>
  <c r="G78" i="1"/>
  <c r="G82" i="1"/>
  <c r="C80" i="1"/>
  <c r="G90" i="1" l="1"/>
  <c r="G91" i="1" s="1"/>
  <c r="C92" i="1" s="1"/>
  <c r="E40" i="1"/>
  <c r="G79" i="1"/>
  <c r="O97" i="1"/>
  <c r="F97" i="1" s="1"/>
  <c r="H97" i="1" s="1"/>
  <c r="F91" i="1"/>
  <c r="F87" i="1"/>
  <c r="M88" i="1"/>
  <c r="E36" i="1" s="1"/>
  <c r="H88" i="1"/>
  <c r="D36" i="1" s="1"/>
  <c r="I35" i="1"/>
  <c r="G80" i="1" l="1"/>
  <c r="G92" i="1"/>
  <c r="C43" i="1"/>
  <c r="H92" i="1" l="1"/>
  <c r="D44" i="1" s="1"/>
  <c r="M92" i="1"/>
  <c r="E44" i="1" s="1"/>
  <c r="I43" i="1"/>
</calcChain>
</file>

<file path=xl/sharedStrings.xml><?xml version="1.0" encoding="utf-8"?>
<sst xmlns="http://schemas.openxmlformats.org/spreadsheetml/2006/main" count="219" uniqueCount="148">
  <si>
    <t xml:space="preserve"> </t>
  </si>
  <si>
    <t>OPERATING INSTRUCTIONS</t>
  </si>
  <si>
    <t xml:space="preserve"> T</t>
  </si>
  <si>
    <t xml:space="preserve"> Project</t>
  </si>
  <si>
    <r>
      <t xml:space="preserve">ENTER DATA IN </t>
    </r>
    <r>
      <rPr>
        <b/>
        <sz val="12"/>
        <color indexed="12"/>
        <rFont val="Tekton"/>
        <family val="2"/>
      </rPr>
      <t>BLUE/</t>
    </r>
    <r>
      <rPr>
        <b/>
        <sz val="12"/>
        <color indexed="14"/>
        <rFont val="Tekton"/>
        <family val="2"/>
      </rPr>
      <t>MAGENTA</t>
    </r>
    <r>
      <rPr>
        <b/>
        <sz val="12"/>
        <color indexed="12"/>
        <rFont val="Tekton"/>
        <family val="2"/>
      </rPr>
      <t xml:space="preserve"> </t>
    </r>
    <r>
      <rPr>
        <b/>
        <sz val="12"/>
        <color indexed="17"/>
        <rFont val="Tekton"/>
        <family val="2"/>
      </rPr>
      <t>CELLS ONLY.</t>
    </r>
  </si>
  <si>
    <t xml:space="preserve"> Client</t>
  </si>
  <si>
    <t xml:space="preserve"> Made by</t>
  </si>
  <si>
    <t xml:space="preserve"> Date</t>
  </si>
  <si>
    <t xml:space="preserve"> Page</t>
  </si>
  <si>
    <r>
      <t>RED MESSAGES</t>
    </r>
    <r>
      <rPr>
        <b/>
        <sz val="12"/>
        <color indexed="17"/>
        <rFont val="Tekton"/>
        <family val="2"/>
      </rPr>
      <t xml:space="preserve"> INDICATE ENTRY ERRORS.</t>
    </r>
  </si>
  <si>
    <t>Fs =</t>
  </si>
  <si>
    <t xml:space="preserve"> Location</t>
  </si>
  <si>
    <t>Triple Pilecap</t>
  </si>
  <si>
    <r>
      <t xml:space="preserve">THIS PAGE for </t>
    </r>
    <r>
      <rPr>
        <b/>
        <sz val="12"/>
        <color indexed="60"/>
        <rFont val="Tekton"/>
        <family val="2"/>
      </rPr>
      <t>TRIPLE</t>
    </r>
    <r>
      <rPr>
        <b/>
        <sz val="12"/>
        <color indexed="17"/>
        <rFont val="Tekton"/>
        <family val="2"/>
      </rPr>
      <t xml:space="preserve"> PILECAPS ONLY.</t>
    </r>
  </si>
  <si>
    <t>bond L =</t>
  </si>
  <si>
    <t xml:space="preserve"> Checked</t>
  </si>
  <si>
    <t>Revision</t>
  </si>
  <si>
    <t xml:space="preserve"> Job No</t>
  </si>
  <si>
    <t>SET PROJECT DETAILS &amp; MATERIALS on FIRST SHEET.</t>
  </si>
  <si>
    <t>-</t>
  </si>
  <si>
    <r>
      <t xml:space="preserve"> </t>
    </r>
    <r>
      <rPr>
        <b/>
        <sz val="14"/>
        <rFont val="BlacklightD"/>
        <family val="4"/>
      </rPr>
      <t>DIMENSIONS</t>
    </r>
    <r>
      <rPr>
        <sz val="14"/>
        <rFont val="BlacklightD"/>
        <family val="4"/>
      </rPr>
      <t xml:space="preserve"> </t>
    </r>
    <r>
      <rPr>
        <sz val="14"/>
        <rFont val="Tekton"/>
        <family val="2"/>
      </rPr>
      <t>mm</t>
    </r>
  </si>
  <si>
    <t>PILECAP</t>
  </si>
  <si>
    <t xml:space="preserve">           COLUMN</t>
  </si>
  <si>
    <t>A =</t>
  </si>
  <si>
    <r>
      <t>®</t>
    </r>
    <r>
      <rPr>
        <sz val="14"/>
        <rFont val="Tekton"/>
        <family val="2"/>
      </rPr>
      <t xml:space="preserve"> =</t>
    </r>
  </si>
  <si>
    <t>B =</t>
  </si>
  <si>
    <r>
      <t>­</t>
    </r>
    <r>
      <rPr>
        <sz val="14"/>
        <rFont val="Tekton"/>
        <family val="2"/>
      </rPr>
      <t xml:space="preserve"> =</t>
    </r>
  </si>
  <si>
    <t>C =</t>
  </si>
  <si>
    <t>E =</t>
  </si>
  <si>
    <t>Pile Ø =</t>
  </si>
  <si>
    <r>
      <t>depth</t>
    </r>
    <r>
      <rPr>
        <sz val="14"/>
        <rFont val="Tekton"/>
        <family val="2"/>
      </rPr>
      <t xml:space="preserve"> H =</t>
    </r>
  </si>
  <si>
    <t>Min spacing =</t>
  </si>
  <si>
    <t>Bar Marks</t>
  </si>
  <si>
    <r>
      <t xml:space="preserve"> COLUMN ACTIONS</t>
    </r>
    <r>
      <rPr>
        <b/>
        <sz val="12"/>
        <rFont val="Marker"/>
        <family val="2"/>
      </rPr>
      <t xml:space="preserve"> </t>
    </r>
    <r>
      <rPr>
        <sz val="14"/>
        <rFont val="Tekton"/>
        <family val="2"/>
      </rPr>
      <t>kN, kNm</t>
    </r>
    <r>
      <rPr>
        <sz val="12"/>
        <rFont val="Tekton"/>
        <family val="2"/>
      </rPr>
      <t xml:space="preserve">  </t>
    </r>
    <r>
      <rPr>
        <sz val="10"/>
        <rFont val="Tekton"/>
        <family val="2"/>
      </rPr>
      <t>characteristic</t>
    </r>
  </si>
  <si>
    <r>
      <t>PLOT</t>
    </r>
    <r>
      <rPr>
        <sz val="12"/>
        <rFont val="Marker"/>
        <family val="2"/>
      </rPr>
      <t xml:space="preserve">  </t>
    </r>
    <r>
      <rPr>
        <i/>
        <sz val="12"/>
        <rFont val="Tekton"/>
        <family val="2"/>
      </rPr>
      <t>(to scale)</t>
    </r>
  </si>
  <si>
    <t>KEY</t>
  </si>
  <si>
    <t>Btm</t>
  </si>
  <si>
    <t xml:space="preserve"> 05 </t>
  </si>
  <si>
    <t xml:space="preserve"> 09 </t>
  </si>
  <si>
    <t>DEAD</t>
  </si>
  <si>
    <t>IMPOSED</t>
  </si>
  <si>
    <t>WIND</t>
  </si>
  <si>
    <t>Top</t>
  </si>
  <si>
    <t xml:space="preserve"> 06 </t>
  </si>
  <si>
    <t xml:space="preserve"> 10 </t>
  </si>
  <si>
    <r>
      <t xml:space="preserve">Axial </t>
    </r>
    <r>
      <rPr>
        <sz val="12"/>
        <rFont val="Tekton"/>
        <family val="2"/>
      </rPr>
      <t xml:space="preserve">(kN) </t>
    </r>
  </si>
  <si>
    <t xml:space="preserve"> STATUS</t>
  </si>
  <si>
    <t>Links</t>
  </si>
  <si>
    <t xml:space="preserve"> 07 </t>
  </si>
  <si>
    <t xml:space="preserve"> 11 </t>
  </si>
  <si>
    <r>
      <t>Mx</t>
    </r>
    <r>
      <rPr>
        <sz val="12"/>
        <rFont val="Tekton"/>
        <family val="2"/>
      </rPr>
      <t xml:space="preserve"> (kNm) </t>
    </r>
  </si>
  <si>
    <t xml:space="preserve">    SIGN CONVENTION</t>
  </si>
  <si>
    <t xml:space="preserve"> 08 </t>
  </si>
  <si>
    <t xml:space="preserve"> 12 </t>
  </si>
  <si>
    <r>
      <t xml:space="preserve">My </t>
    </r>
    <r>
      <rPr>
        <sz val="12"/>
        <rFont val="Tekton"/>
        <family val="2"/>
      </rPr>
      <t>(kNm)</t>
    </r>
    <r>
      <rPr>
        <sz val="14"/>
        <rFont val="Tekton"/>
        <family val="2"/>
      </rPr>
      <t xml:space="preserve"> </t>
    </r>
  </si>
  <si>
    <r>
      <t>PILE REACTIONS</t>
    </r>
    <r>
      <rPr>
        <sz val="14"/>
        <rFont val="BlacklightD"/>
        <family val="4"/>
      </rPr>
      <t xml:space="preserve"> </t>
    </r>
    <r>
      <rPr>
        <sz val="14"/>
        <rFont val="Tekton"/>
        <family val="2"/>
      </rPr>
      <t>kN</t>
    </r>
  </si>
  <si>
    <r>
      <t xml:space="preserve">Hx </t>
    </r>
    <r>
      <rPr>
        <sz val="12"/>
        <rFont val="Tekton"/>
        <family val="2"/>
      </rPr>
      <t xml:space="preserve">(kN) </t>
    </r>
  </si>
  <si>
    <t>PILE 1</t>
  </si>
  <si>
    <t>PILE 2</t>
  </si>
  <si>
    <t>PILE 3</t>
  </si>
  <si>
    <t>Y</t>
  </si>
  <si>
    <r>
      <t xml:space="preserve">Hy </t>
    </r>
    <r>
      <rPr>
        <sz val="12"/>
        <rFont val="Tekton"/>
        <family val="2"/>
      </rPr>
      <t xml:space="preserve">(kN) </t>
    </r>
  </si>
  <si>
    <t>Gk + Qk</t>
  </si>
  <si>
    <t>Gk + Qk +Wk</t>
  </si>
  <si>
    <t>X</t>
  </si>
  <si>
    <t xml:space="preserve"> REINFORCEMENT</t>
  </si>
  <si>
    <t xml:space="preserve">        M         H</t>
  </si>
  <si>
    <t>EW (2-3)</t>
  </si>
  <si>
    <t/>
  </si>
  <si>
    <r>
      <t>­</t>
    </r>
    <r>
      <rPr>
        <b/>
        <sz val="14"/>
        <rFont val="BlacklightD"/>
        <family val="4"/>
      </rPr>
      <t xml:space="preserve"> </t>
    </r>
    <r>
      <rPr>
        <sz val="13"/>
        <rFont val="Marker"/>
        <family val="2"/>
      </rPr>
      <t>ELEVATION</t>
    </r>
  </si>
  <si>
    <t xml:space="preserve"> + 12 T8 08 150</t>
  </si>
  <si>
    <t>NS (1-2/3)</t>
  </si>
  <si>
    <t xml:space="preserve"> + 2x7 T8 12 175</t>
  </si>
  <si>
    <r>
      <t>¬</t>
    </r>
    <r>
      <rPr>
        <b/>
        <sz val="14"/>
        <rFont val="BlacklightD"/>
        <family val="4"/>
      </rPr>
      <t xml:space="preserve"> </t>
    </r>
    <r>
      <rPr>
        <sz val="13"/>
        <rFont val="Marker"/>
        <family val="2"/>
      </rPr>
      <t>ELEVATION</t>
    </r>
  </si>
  <si>
    <t>Cap load =</t>
  </si>
  <si>
    <t>kN</t>
  </si>
  <si>
    <t>Group centre @</t>
  </si>
  <si>
    <t>m from pile 1</t>
  </si>
  <si>
    <r>
      <t>PILE REACTIONS</t>
    </r>
    <r>
      <rPr>
        <sz val="12"/>
        <rFont val="BlacklightD"/>
        <family val="4"/>
      </rPr>
      <t xml:space="preserve"> </t>
    </r>
    <r>
      <rPr>
        <sz val="12"/>
        <rFont val="Tekton"/>
        <family val="2"/>
      </rPr>
      <t>kN</t>
    </r>
  </si>
  <si>
    <r>
      <t xml:space="preserve"> OVERTURNING MOMENTS</t>
    </r>
    <r>
      <rPr>
        <sz val="12"/>
        <rFont val="Tekton"/>
        <family val="2"/>
      </rPr>
      <t xml:space="preserve"> - kNm </t>
    </r>
    <r>
      <rPr>
        <sz val="10"/>
        <rFont val="Tekton"/>
        <family val="2"/>
      </rPr>
      <t>characteristic</t>
    </r>
  </si>
  <si>
    <t xml:space="preserve">Gk + Qk </t>
  </si>
  <si>
    <t xml:space="preserve">Gk + Qk +Wk </t>
  </si>
  <si>
    <t xml:space="preserve">Mx </t>
  </si>
  <si>
    <t xml:space="preserve">1.4Gk + 1.6Qk </t>
  </si>
  <si>
    <t xml:space="preserve">My </t>
  </si>
  <si>
    <t xml:space="preserve">Gk + 1.4Wk </t>
  </si>
  <si>
    <t>SELECT MAIN Øs</t>
  </si>
  <si>
    <t xml:space="preserve">1.2(Gk+Qk+Wk) </t>
  </si>
  <si>
    <t>EW</t>
  </si>
  <si>
    <t>NS</t>
  </si>
  <si>
    <t>d =</t>
  </si>
  <si>
    <r>
      <t xml:space="preserve"> </t>
    </r>
    <r>
      <rPr>
        <sz val="12"/>
        <rFont val="Marker"/>
        <family val="2"/>
      </rPr>
      <t>BENDING MOMENTS</t>
    </r>
    <r>
      <rPr>
        <sz val="12"/>
        <rFont val="BlacklightD"/>
        <family val="4"/>
      </rPr>
      <t xml:space="preserve"> </t>
    </r>
    <r>
      <rPr>
        <sz val="12"/>
        <rFont val="Tekton"/>
        <family val="2"/>
      </rPr>
      <t>- kNm</t>
    </r>
  </si>
  <si>
    <t>b =</t>
  </si>
  <si>
    <t>K =</t>
  </si>
  <si>
    <r>
      <t>My</t>
    </r>
    <r>
      <rPr>
        <sz val="12"/>
        <color indexed="10"/>
        <rFont val="Tekton"/>
        <family val="2"/>
      </rPr>
      <t xml:space="preserve"> v</t>
    </r>
    <r>
      <rPr>
        <sz val="12"/>
        <rFont val="Tekton"/>
        <family val="2"/>
      </rPr>
      <t xml:space="preserve"> of col </t>
    </r>
  </si>
  <si>
    <t>z =</t>
  </si>
  <si>
    <r>
      <t xml:space="preserve">My </t>
    </r>
    <r>
      <rPr>
        <sz val="12"/>
        <color indexed="10"/>
        <rFont val="Tekton"/>
        <family val="2"/>
      </rPr>
      <t>^</t>
    </r>
    <r>
      <rPr>
        <sz val="12"/>
        <rFont val="Tekton"/>
        <family val="2"/>
      </rPr>
      <t xml:space="preserve"> of col </t>
    </r>
  </si>
  <si>
    <t xml:space="preserve">As = </t>
  </si>
  <si>
    <t>Provide</t>
  </si>
  <si>
    <t xml:space="preserve">No = </t>
  </si>
  <si>
    <t xml:space="preserve"> E-W STEEL</t>
  </si>
  <si>
    <t>N-S STEEL</t>
  </si>
  <si>
    <t xml:space="preserve">fs = </t>
  </si>
  <si>
    <t>M =</t>
  </si>
  <si>
    <t>K' =</t>
  </si>
  <si>
    <t>S =</t>
  </si>
  <si>
    <t xml:space="preserve">min As = </t>
  </si>
  <si>
    <t>SELECT LINK Ø</t>
  </si>
  <si>
    <t>2 &amp; 3</t>
  </si>
  <si>
    <t>% =</t>
  </si>
  <si>
    <t>V =</t>
  </si>
  <si>
    <t>v =</t>
  </si>
  <si>
    <t xml:space="preserve">As prov = </t>
  </si>
  <si>
    <t>vc 2d/av =</t>
  </si>
  <si>
    <t>(v - vc)b =</t>
  </si>
  <si>
    <t>Max clear S =</t>
  </si>
  <si>
    <t>Asv/Sv =</t>
  </si>
  <si>
    <t>Min clear S =</t>
  </si>
  <si>
    <t>Btm S =</t>
  </si>
  <si>
    <t>Clear S =</t>
  </si>
  <si>
    <t>Min legs =</t>
  </si>
  <si>
    <t xml:space="preserve"> SHEAR</t>
  </si>
  <si>
    <t>Crit section is</t>
  </si>
  <si>
    <t>from pile centres</t>
  </si>
  <si>
    <t>Legs =</t>
  </si>
  <si>
    <t>PILES 2 &amp; 3</t>
  </si>
  <si>
    <t>links</t>
  </si>
  <si>
    <t>Asv (1 leg) =</t>
  </si>
  <si>
    <t>As% =</t>
  </si>
  <si>
    <t>av =</t>
  </si>
  <si>
    <t>No of legs =</t>
  </si>
  <si>
    <t>Spacing =</t>
  </si>
  <si>
    <t>closest pile from col face =</t>
  </si>
  <si>
    <t xml:space="preserve"> PUNCHING</t>
  </si>
  <si>
    <t>Column Face</t>
  </si>
  <si>
    <t>1.5 ave d =</t>
  </si>
  <si>
    <r>
      <t>m</t>
    </r>
    <r>
      <rPr>
        <sz val="12"/>
        <rFont val="Tekton"/>
        <family val="2"/>
      </rPr>
      <t xml:space="preserve"> =</t>
    </r>
  </si>
  <si>
    <t>d ave =</t>
  </si>
  <si>
    <t>width =</t>
  </si>
  <si>
    <t>height =</t>
  </si>
  <si>
    <t>v max =</t>
  </si>
  <si>
    <r>
      <t>r</t>
    </r>
    <r>
      <rPr>
        <sz val="12"/>
        <rFont val="Tekton"/>
        <family val="2"/>
      </rPr>
      <t xml:space="preserve"> =</t>
    </r>
  </si>
  <si>
    <t>THANKING YOU</t>
  </si>
  <si>
    <t>ENGR.TOWHID</t>
  </si>
  <si>
    <t>CO-FOUNDER</t>
  </si>
  <si>
    <t>DESIGN INTEGRITY</t>
  </si>
  <si>
    <t>CIVIL ENGINEERING LEARNING CENTER</t>
  </si>
  <si>
    <r>
      <rPr>
        <sz val="11"/>
        <color rgb="FF00B050"/>
        <rFont val="Calibri"/>
        <family val="2"/>
        <scheme val="minor"/>
      </rPr>
      <t xml:space="preserve">Email : dilbd016@gmail.com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Call:01633905761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</si>
</sst>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;\-0.0;;@"/>
    <numFmt numFmtId="165" formatCode="0.0"/>
    <numFmt numFmtId="166" formatCode="0.000"/>
    <numFmt numFmtId="167" formatCode="0.0000"/>
    <numFmt numFmtId="168" formatCode="\Ø#,##0;\-\Ø#,##0"/>
  </numFmts>
  <fonts count="8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ekton"/>
      <family val="2"/>
    </font>
    <font>
      <sz val="12"/>
      <color indexed="17"/>
      <name val="Tekton"/>
      <family val="2"/>
    </font>
    <font>
      <sz val="12"/>
      <name val="Courier New"/>
      <family val="3"/>
    </font>
    <font>
      <sz val="14"/>
      <name val="Courier New"/>
      <family val="3"/>
    </font>
    <font>
      <b/>
      <sz val="16"/>
      <color indexed="60"/>
      <name val="Tekton"/>
      <family val="2"/>
    </font>
    <font>
      <sz val="24"/>
      <name val="Courier New"/>
      <family val="3"/>
    </font>
    <font>
      <sz val="16"/>
      <color indexed="12"/>
      <name val="Marker"/>
      <family val="2"/>
    </font>
    <font>
      <sz val="14"/>
      <name val="BlacklightD"/>
      <family val="4"/>
    </font>
    <font>
      <sz val="12"/>
      <name val="BlacklightD"/>
      <family val="4"/>
    </font>
    <font>
      <i/>
      <sz val="10"/>
      <color indexed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7"/>
      <name val="Tekton"/>
      <family val="2"/>
    </font>
    <font>
      <b/>
      <sz val="12"/>
      <color indexed="12"/>
      <name val="Tekton"/>
      <family val="2"/>
    </font>
    <font>
      <b/>
      <sz val="12"/>
      <color indexed="14"/>
      <name val="Tekton"/>
      <family val="2"/>
    </font>
    <font>
      <sz val="14"/>
      <color indexed="12"/>
      <name val="Marker"/>
      <family val="2"/>
    </font>
    <font>
      <sz val="10"/>
      <name val="BlacklightD"/>
      <family val="4"/>
    </font>
    <font>
      <sz val="14"/>
      <color indexed="17"/>
      <name val="BlacklightD"/>
      <family val="4"/>
    </font>
    <font>
      <sz val="10"/>
      <name val="Tekton"/>
      <family val="2"/>
    </font>
    <font>
      <b/>
      <sz val="12"/>
      <color indexed="10"/>
      <name val="Tekton"/>
      <family val="2"/>
    </font>
    <font>
      <sz val="13"/>
      <color indexed="17"/>
      <name val="Marker"/>
      <family val="2"/>
    </font>
    <font>
      <sz val="12"/>
      <color indexed="12"/>
      <name val="Marker"/>
      <family val="2"/>
    </font>
    <font>
      <b/>
      <sz val="12"/>
      <color indexed="60"/>
      <name val="Tekton"/>
      <family val="2"/>
    </font>
    <font>
      <sz val="8"/>
      <name val="Tekton"/>
      <family val="2"/>
    </font>
    <font>
      <b/>
      <sz val="12"/>
      <name val="Tekton"/>
      <family val="2"/>
    </font>
    <font>
      <sz val="10"/>
      <name val="Arial"/>
      <family val="2"/>
    </font>
    <font>
      <sz val="14"/>
      <name val="Tekton"/>
      <family val="2"/>
    </font>
    <font>
      <sz val="12"/>
      <color indexed="17"/>
      <name val="BlacklightD"/>
      <family val="4"/>
    </font>
    <font>
      <sz val="14"/>
      <name val="Marker"/>
      <family val="2"/>
    </font>
    <font>
      <b/>
      <sz val="14"/>
      <name val="BlacklightD"/>
      <family val="4"/>
    </font>
    <font>
      <i/>
      <sz val="12"/>
      <color indexed="17"/>
      <name val="Tekton"/>
      <family val="2"/>
    </font>
    <font>
      <sz val="11"/>
      <name val="Marker"/>
      <family val="2"/>
    </font>
    <font>
      <u/>
      <sz val="14"/>
      <color indexed="12"/>
      <name val="Tekton"/>
      <family val="2"/>
    </font>
    <font>
      <sz val="12"/>
      <color indexed="10"/>
      <name val="BlacklightD"/>
      <family val="4"/>
    </font>
    <font>
      <sz val="14"/>
      <name val="Symbol"/>
      <family val="1"/>
      <charset val="2"/>
    </font>
    <font>
      <sz val="10"/>
      <name val="Marker"/>
      <family val="2"/>
    </font>
    <font>
      <sz val="14"/>
      <name val="Arial"/>
      <family val="2"/>
    </font>
    <font>
      <sz val="12"/>
      <name val="Marker"/>
      <family val="2"/>
    </font>
    <font>
      <sz val="16"/>
      <color indexed="60"/>
      <name val="BlacklightD"/>
      <family val="4"/>
    </font>
    <font>
      <sz val="14"/>
      <color indexed="60"/>
      <name val="BlacklightD"/>
      <family val="4"/>
    </font>
    <font>
      <b/>
      <sz val="12"/>
      <name val="Marker"/>
      <family val="2"/>
    </font>
    <font>
      <sz val="13"/>
      <name val="Marker"/>
      <family val="2"/>
    </font>
    <font>
      <i/>
      <sz val="12"/>
      <name val="Tekton"/>
      <family val="2"/>
    </font>
    <font>
      <sz val="13"/>
      <color indexed="10"/>
      <name val="Marker"/>
      <family val="2"/>
    </font>
    <font>
      <sz val="12"/>
      <color indexed="20"/>
      <name val="BlacklightD"/>
      <family val="4"/>
    </font>
    <font>
      <b/>
      <i/>
      <sz val="12"/>
      <color indexed="60"/>
      <name val="Tekton"/>
      <family val="2"/>
    </font>
    <font>
      <b/>
      <sz val="14"/>
      <color indexed="60"/>
      <name val="BlacklightD"/>
      <family val="4"/>
    </font>
    <font>
      <sz val="14"/>
      <name val="Tekton"/>
    </font>
    <font>
      <b/>
      <sz val="14"/>
      <color indexed="10"/>
      <name val="Tekton"/>
      <family val="2"/>
    </font>
    <font>
      <sz val="12"/>
      <color indexed="10"/>
      <name val="Tekton"/>
      <family val="2"/>
    </font>
    <font>
      <sz val="13"/>
      <color indexed="12"/>
      <name val="Tekton"/>
      <family val="2"/>
    </font>
    <font>
      <sz val="13"/>
      <name val="Tekton"/>
      <family val="2"/>
    </font>
    <font>
      <u/>
      <sz val="13"/>
      <color indexed="60"/>
      <name val="Marker"/>
      <family val="2"/>
    </font>
    <font>
      <sz val="10"/>
      <name val="Tekton"/>
    </font>
    <font>
      <sz val="10"/>
      <color indexed="10"/>
      <name val="Tekton"/>
      <family val="2"/>
    </font>
    <font>
      <sz val="13"/>
      <color indexed="10"/>
      <name val="Tekton"/>
      <family val="2"/>
    </font>
    <font>
      <sz val="13"/>
      <color indexed="17"/>
      <name val="Tekton"/>
      <family val="2"/>
    </font>
    <font>
      <b/>
      <sz val="14"/>
      <color indexed="10"/>
      <name val="Symbol"/>
      <family val="1"/>
      <charset val="2"/>
    </font>
    <font>
      <u/>
      <sz val="10"/>
      <color indexed="12"/>
      <name val="Tekton"/>
      <family val="2"/>
    </font>
    <font>
      <sz val="10"/>
      <color indexed="10"/>
      <name val="BlacklightD"/>
      <family val="4"/>
    </font>
    <font>
      <b/>
      <sz val="14"/>
      <color indexed="17"/>
      <name val="Tekton"/>
      <family val="2"/>
    </font>
    <font>
      <sz val="8"/>
      <name val="Arial"/>
      <family val="2"/>
    </font>
    <font>
      <sz val="8"/>
      <name val="Tekton"/>
    </font>
    <font>
      <sz val="8"/>
      <color indexed="10"/>
      <name val="BlacklightD"/>
      <family val="4"/>
    </font>
    <font>
      <sz val="8"/>
      <color indexed="60"/>
      <name val="BlacklightD"/>
      <family val="4"/>
    </font>
    <font>
      <u/>
      <sz val="12"/>
      <color indexed="12"/>
      <name val="Tekton"/>
    </font>
    <font>
      <sz val="12"/>
      <color indexed="60"/>
      <name val="Tekton"/>
      <family val="2"/>
    </font>
    <font>
      <b/>
      <sz val="8"/>
      <name val="Tekton"/>
      <family val="2"/>
    </font>
    <font>
      <sz val="16"/>
      <name val="Marker"/>
      <family val="2"/>
    </font>
    <font>
      <sz val="12"/>
      <name val="Tekton"/>
    </font>
    <font>
      <sz val="12"/>
      <color indexed="60"/>
      <name val="BlacklightD"/>
      <family val="4"/>
    </font>
    <font>
      <b/>
      <sz val="12"/>
      <color indexed="10"/>
      <name val="BlacklightD"/>
      <family val="4"/>
    </font>
    <font>
      <sz val="11"/>
      <color indexed="17"/>
      <name val="Marker"/>
      <family val="2"/>
    </font>
    <font>
      <sz val="12"/>
      <name val="Symbol"/>
      <family val="1"/>
      <charset val="2"/>
    </font>
    <font>
      <b/>
      <sz val="12"/>
      <color indexed="10"/>
      <name val="Arial"/>
      <family val="2"/>
    </font>
    <font>
      <b/>
      <u/>
      <sz val="8"/>
      <color indexed="60"/>
      <name val="BlacklightD"/>
      <family val="4"/>
    </font>
    <font>
      <u/>
      <sz val="8"/>
      <name val="Tekton"/>
      <family val="2"/>
    </font>
    <font>
      <sz val="8"/>
      <name val="BlacklightD"/>
      <family val="4"/>
    </font>
    <font>
      <b/>
      <sz val="14"/>
      <color rgb="FFC00000"/>
      <name val="Calibri"/>
      <family val="2"/>
      <scheme val="minor"/>
    </font>
    <font>
      <b/>
      <i/>
      <sz val="24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Tekton"/>
    </font>
    <font>
      <sz val="12"/>
      <color rgb="FF008000"/>
      <name val="Tekton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55"/>
      </left>
      <right/>
      <top/>
      <bottom/>
      <diagonal/>
    </border>
    <border>
      <left/>
      <right style="thick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 style="thick">
        <color indexed="55"/>
      </bottom>
      <diagonal/>
    </border>
    <border>
      <left/>
      <right style="thick">
        <color indexed="55"/>
      </right>
      <top style="thin">
        <color indexed="64"/>
      </top>
      <bottom style="thin">
        <color indexed="64"/>
      </bottom>
      <diagonal/>
    </border>
    <border>
      <left/>
      <right style="thick">
        <color indexed="55"/>
      </right>
      <top/>
      <bottom style="thin">
        <color indexed="64"/>
      </bottom>
      <diagonal/>
    </border>
  </borders>
  <cellStyleXfs count="2">
    <xf numFmtId="0" fontId="0" fillId="0" borderId="0"/>
    <xf numFmtId="0" fontId="67" fillId="0" borderId="0" applyNumberFormat="0" applyFill="0" applyBorder="0" applyAlignment="0" applyProtection="0">
      <alignment vertical="top"/>
      <protection locked="0"/>
    </xf>
  </cellStyleXfs>
  <cellXfs count="291">
    <xf numFmtId="0" fontId="0" fillId="0" borderId="0" xfId="0"/>
    <xf numFmtId="0" fontId="0" fillId="0" borderId="0" xfId="0" applyProtection="1"/>
    <xf numFmtId="1" fontId="8" fillId="0" borderId="2" xfId="0" applyNumberFormat="1" applyFont="1" applyFill="1" applyBorder="1" applyAlignment="1" applyProtection="1">
      <alignment horizontal="left" vertical="center"/>
      <protection locked="0"/>
    </xf>
    <xf numFmtId="1" fontId="17" fillId="0" borderId="0" xfId="0" applyNumberFormat="1" applyFont="1" applyFill="1" applyBorder="1" applyAlignment="1" applyProtection="1">
      <alignment horizontal="left"/>
      <protection locked="0"/>
    </xf>
    <xf numFmtId="1" fontId="17" fillId="0" borderId="0" xfId="0" applyNumberFormat="1" applyFont="1" applyFill="1" applyAlignment="1" applyProtection="1">
      <alignment horizontal="left"/>
      <protection locked="0"/>
    </xf>
    <xf numFmtId="1" fontId="23" fillId="0" borderId="10" xfId="0" applyNumberFormat="1" applyFont="1" applyFill="1" applyBorder="1" applyAlignment="1" applyProtection="1">
      <alignment horizontal="centerContinuous"/>
      <protection locked="0"/>
    </xf>
    <xf numFmtId="15" fontId="23" fillId="0" borderId="11" xfId="0" applyNumberFormat="1" applyFont="1" applyFill="1" applyBorder="1" applyAlignment="1" applyProtection="1">
      <alignment horizontal="center" shrinkToFit="1"/>
      <protection locked="0"/>
    </xf>
    <xf numFmtId="1" fontId="23" fillId="0" borderId="12" xfId="0" applyNumberFormat="1" applyFont="1" applyFill="1" applyBorder="1" applyAlignment="1" applyProtection="1">
      <alignment horizontal="centerContinuous"/>
      <protection locked="0"/>
    </xf>
    <xf numFmtId="1" fontId="23" fillId="0" borderId="15" xfId="0" applyNumberFormat="1" applyFont="1" applyFill="1" applyBorder="1" applyAlignment="1" applyProtection="1">
      <alignment horizontal="centerContinuous"/>
      <protection locked="0"/>
    </xf>
    <xf numFmtId="1" fontId="23" fillId="0" borderId="17" xfId="0" applyNumberFormat="1" applyFont="1" applyFill="1" applyBorder="1" applyAlignment="1" applyProtection="1">
      <alignment horizontal="centerContinuous"/>
      <protection locked="0"/>
    </xf>
    <xf numFmtId="1" fontId="23" fillId="0" borderId="18" xfId="0" applyNumberFormat="1" applyFont="1" applyFill="1" applyBorder="1" applyAlignment="1" applyProtection="1">
      <alignment horizontal="centerContinuous"/>
      <protection locked="0"/>
    </xf>
    <xf numFmtId="0" fontId="34" fillId="0" borderId="0" xfId="0" applyFont="1" applyFill="1" applyBorder="1" applyAlignment="1" applyProtection="1">
      <alignment horizontal="left"/>
      <protection locked="0"/>
    </xf>
    <xf numFmtId="0" fontId="40" fillId="4" borderId="0" xfId="0" applyFont="1" applyFill="1" applyAlignment="1" applyProtection="1">
      <alignment horizontal="center" vertical="top"/>
    </xf>
    <xf numFmtId="164" fontId="34" fillId="0" borderId="28" xfId="0" applyNumberFormat="1" applyFont="1" applyFill="1" applyBorder="1" applyAlignment="1" applyProtection="1">
      <alignment horizontal="center"/>
      <protection locked="0"/>
    </xf>
    <xf numFmtId="164" fontId="34" fillId="0" borderId="29" xfId="0" applyNumberFormat="1" applyFont="1" applyFill="1" applyBorder="1" applyAlignment="1" applyProtection="1">
      <alignment horizontal="center"/>
      <protection locked="0"/>
    </xf>
    <xf numFmtId="164" fontId="34" fillId="0" borderId="29" xfId="0" applyNumberFormat="1" applyFont="1" applyBorder="1" applyAlignment="1" applyProtection="1">
      <alignment horizontal="center"/>
      <protection locked="0"/>
    </xf>
    <xf numFmtId="164" fontId="34" fillId="0" borderId="32" xfId="0" applyNumberFormat="1" applyFont="1" applyBorder="1" applyAlignment="1" applyProtection="1">
      <alignment horizontal="center"/>
      <protection locked="0"/>
    </xf>
    <xf numFmtId="165" fontId="34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35" fillId="4" borderId="0" xfId="0" applyFont="1" applyFill="1" applyAlignment="1" applyProtection="1">
      <alignment horizontal="center"/>
    </xf>
    <xf numFmtId="0" fontId="80" fillId="8" borderId="0" xfId="0" applyFont="1" applyFill="1" applyAlignment="1" applyProtection="1">
      <alignment horizontal="center"/>
    </xf>
    <xf numFmtId="0" fontId="0" fillId="0" borderId="0" xfId="0" applyProtection="1">
      <protection locked="0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Protection="1">
      <protection locked="0"/>
    </xf>
    <xf numFmtId="1" fontId="2" fillId="0" borderId="1" xfId="0" applyNumberFormat="1" applyFont="1" applyFill="1" applyBorder="1" applyAlignment="1" applyProtection="1">
      <alignment vertical="center"/>
      <protection locked="0"/>
    </xf>
    <xf numFmtId="1" fontId="9" fillId="0" borderId="2" xfId="0" applyNumberFormat="1" applyFont="1" applyFill="1" applyBorder="1" applyAlignment="1" applyProtection="1">
      <alignment vertical="center"/>
      <protection locked="0"/>
    </xf>
    <xf numFmtId="0" fontId="10" fillId="0" borderId="2" xfId="0" applyFont="1" applyFill="1" applyBorder="1" applyProtection="1">
      <protection locked="0"/>
    </xf>
    <xf numFmtId="0" fontId="14" fillId="2" borderId="0" xfId="0" applyFont="1" applyFill="1" applyAlignment="1" applyProtection="1">
      <alignment horizontal="left"/>
      <protection locked="0"/>
    </xf>
    <xf numFmtId="1" fontId="2" fillId="0" borderId="6" xfId="0" applyNumberFormat="1" applyFont="1" applyFill="1" applyBorder="1" applyProtection="1">
      <protection locked="0"/>
    </xf>
    <xf numFmtId="1" fontId="18" fillId="0" borderId="0" xfId="0" applyNumberFormat="1" applyFont="1" applyFill="1" applyBorder="1" applyProtection="1">
      <protection locked="0"/>
    </xf>
    <xf numFmtId="0" fontId="18" fillId="0" borderId="0" xfId="0" applyFont="1" applyFill="1" applyBorder="1" applyProtection="1">
      <protection locked="0"/>
    </xf>
    <xf numFmtId="1" fontId="19" fillId="0" borderId="0" xfId="0" applyNumberFormat="1" applyFont="1" applyFill="1" applyBorder="1" applyAlignment="1" applyProtection="1">
      <alignment horizontal="center" vertical="center"/>
      <protection locked="0"/>
    </xf>
    <xf numFmtId="1" fontId="20" fillId="0" borderId="0" xfId="0" applyNumberFormat="1" applyFont="1" applyFill="1" applyBorder="1" applyProtection="1">
      <protection locked="0"/>
    </xf>
    <xf numFmtId="1" fontId="20" fillId="0" borderId="8" xfId="0" applyNumberFormat="1" applyFont="1" applyFill="1" applyBorder="1" applyProtection="1">
      <protection locked="0"/>
    </xf>
    <xf numFmtId="1" fontId="20" fillId="0" borderId="9" xfId="0" applyNumberFormat="1" applyFont="1" applyFill="1" applyBorder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" fontId="25" fillId="0" borderId="6" xfId="0" applyNumberFormat="1" applyFont="1" applyFill="1" applyBorder="1" applyProtection="1">
      <protection locked="0"/>
    </xf>
    <xf numFmtId="1" fontId="25" fillId="0" borderId="0" xfId="0" applyNumberFormat="1" applyFont="1" applyFill="1" applyBorder="1" applyProtection="1">
      <protection locked="0"/>
    </xf>
    <xf numFmtId="1" fontId="9" fillId="0" borderId="0" xfId="0" applyNumberFormat="1" applyFont="1" applyFill="1" applyBorder="1" applyAlignment="1" applyProtection="1">
      <alignment horizontal="right"/>
      <protection locked="0"/>
    </xf>
    <xf numFmtId="1" fontId="9" fillId="0" borderId="0" xfId="0" applyNumberFormat="1" applyFont="1" applyFill="1" applyBorder="1" applyProtection="1">
      <protection locked="0"/>
    </xf>
    <xf numFmtId="1" fontId="20" fillId="0" borderId="13" xfId="0" applyNumberFormat="1" applyFont="1" applyFill="1" applyBorder="1" applyProtection="1">
      <protection locked="0"/>
    </xf>
    <xf numFmtId="1" fontId="25" fillId="0" borderId="14" xfId="0" applyNumberFormat="1" applyFont="1" applyFill="1" applyBorder="1" applyAlignment="1" applyProtection="1">
      <alignment horizontal="left"/>
      <protection locked="0"/>
    </xf>
    <xf numFmtId="1" fontId="25" fillId="0" borderId="15" xfId="0" applyNumberFormat="1" applyFont="1" applyFill="1" applyBorder="1" applyAlignment="1" applyProtection="1">
      <alignment horizontal="left"/>
      <protection locked="0"/>
    </xf>
    <xf numFmtId="1" fontId="9" fillId="0" borderId="15" xfId="0" applyNumberFormat="1" applyFont="1" applyFill="1" applyBorder="1" applyAlignment="1" applyProtection="1">
      <alignment horizontal="right"/>
      <protection locked="0"/>
    </xf>
    <xf numFmtId="1" fontId="9" fillId="0" borderId="15" xfId="0" applyNumberFormat="1" applyFont="1" applyFill="1" applyBorder="1" applyProtection="1">
      <protection locked="0"/>
    </xf>
    <xf numFmtId="0" fontId="18" fillId="0" borderId="16" xfId="0" applyFont="1" applyFill="1" applyBorder="1" applyProtection="1">
      <protection locked="0"/>
    </xf>
    <xf numFmtId="0" fontId="27" fillId="2" borderId="0" xfId="0" applyFont="1" applyFill="1" applyProtection="1">
      <protection locked="0"/>
    </xf>
    <xf numFmtId="0" fontId="28" fillId="0" borderId="19" xfId="0" applyFont="1" applyFill="1" applyBorder="1" applyAlignment="1" applyProtection="1">
      <alignment horizontal="right" vertical="top"/>
      <protection locked="0"/>
    </xf>
    <xf numFmtId="0" fontId="28" fillId="0" borderId="0" xfId="0" applyFont="1" applyFill="1" applyBorder="1" applyAlignment="1" applyProtection="1">
      <alignment horizontal="right" vertical="top"/>
      <protection locked="0"/>
    </xf>
    <xf numFmtId="0" fontId="27" fillId="0" borderId="0" xfId="0" applyFont="1" applyFill="1" applyBorder="1" applyProtection="1">
      <protection locked="0"/>
    </xf>
    <xf numFmtId="0" fontId="27" fillId="0" borderId="20" xfId="0" applyFont="1" applyFill="1" applyBorder="1" applyProtection="1">
      <protection locked="0"/>
    </xf>
    <xf numFmtId="0" fontId="29" fillId="2" borderId="0" xfId="0" applyFont="1" applyFill="1" applyProtection="1">
      <protection locked="0"/>
    </xf>
    <xf numFmtId="0" fontId="30" fillId="0" borderId="19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right"/>
      <protection locked="0"/>
    </xf>
    <xf numFmtId="49" fontId="36" fillId="0" borderId="19" xfId="0" applyNumberFormat="1" applyFont="1" applyFill="1" applyBorder="1" applyAlignment="1" applyProtection="1">
      <alignment horizontal="right"/>
      <protection locked="0"/>
    </xf>
    <xf numFmtId="0" fontId="37" fillId="0" borderId="20" xfId="0" applyFont="1" applyFill="1" applyBorder="1" applyAlignment="1" applyProtection="1">
      <alignment horizontal="left"/>
      <protection locked="0"/>
    </xf>
    <xf numFmtId="0" fontId="36" fillId="0" borderId="19" xfId="0" applyFont="1" applyFill="1" applyBorder="1" applyAlignment="1" applyProtection="1">
      <alignment horizontal="right"/>
      <protection locked="0"/>
    </xf>
    <xf numFmtId="0" fontId="38" fillId="0" borderId="0" xfId="0" applyFont="1" applyFill="1" applyBorder="1" applyProtection="1"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0" fontId="39" fillId="0" borderId="19" xfId="0" applyFont="1" applyFill="1" applyBorder="1" applyAlignment="1" applyProtection="1">
      <alignment horizontal="right"/>
      <protection locked="0"/>
    </xf>
    <xf numFmtId="0" fontId="35" fillId="2" borderId="0" xfId="0" applyFont="1" applyFill="1" applyAlignment="1" applyProtection="1">
      <alignment horizontal="left"/>
      <protection locked="0"/>
    </xf>
    <xf numFmtId="0" fontId="28" fillId="0" borderId="19" xfId="0" applyFont="1" applyFill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35" fillId="2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39" fillId="0" borderId="19" xfId="0" applyFont="1" applyFill="1" applyBorder="1" applyAlignment="1" applyProtection="1">
      <alignment horizontal="left"/>
      <protection locked="0"/>
    </xf>
    <xf numFmtId="0" fontId="4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38" fillId="0" borderId="19" xfId="0" applyFont="1" applyFill="1" applyBorder="1" applyProtection="1">
      <protection locked="0"/>
    </xf>
    <xf numFmtId="0" fontId="32" fillId="0" borderId="26" xfId="0" applyFont="1" applyFill="1" applyBorder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43" fillId="0" borderId="0" xfId="0" applyFont="1" applyFill="1" applyBorder="1" applyAlignment="1" applyProtection="1">
      <alignment horizontal="right"/>
      <protection locked="0"/>
    </xf>
    <xf numFmtId="0" fontId="46" fillId="2" borderId="0" xfId="0" applyFont="1" applyFill="1" applyAlignment="1" applyProtection="1">
      <alignment horizontal="left" indent="1"/>
      <protection locked="0"/>
    </xf>
    <xf numFmtId="0" fontId="37" fillId="0" borderId="0" xfId="0" applyFont="1" applyFill="1" applyBorder="1" applyAlignment="1" applyProtection="1">
      <alignment horizontal="left"/>
      <protection locked="0"/>
    </xf>
    <xf numFmtId="0" fontId="47" fillId="2" borderId="0" xfId="0" applyFont="1" applyFill="1" applyAlignment="1" applyProtection="1">
      <alignment horizontal="left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28" fillId="0" borderId="19" xfId="0" applyFont="1" applyBorder="1" applyAlignment="1" applyProtection="1">
      <alignment horizontal="right"/>
      <protection locked="0"/>
    </xf>
    <xf numFmtId="0" fontId="48" fillId="0" borderId="0" xfId="0" applyFont="1" applyFill="1" applyBorder="1" applyAlignment="1" applyProtection="1">
      <alignment horizontal="left"/>
      <protection locked="0"/>
    </xf>
    <xf numFmtId="165" fontId="28" fillId="0" borderId="13" xfId="0" applyNumberFormat="1" applyFont="1" applyFill="1" applyBorder="1" applyAlignment="1" applyProtection="1">
      <alignment horizontal="center"/>
      <protection locked="0"/>
    </xf>
    <xf numFmtId="165" fontId="28" fillId="0" borderId="28" xfId="0" applyNumberFormat="1" applyFont="1" applyFill="1" applyBorder="1" applyAlignment="1" applyProtection="1">
      <alignment horizontal="center"/>
      <protection locked="0"/>
    </xf>
    <xf numFmtId="165" fontId="28" fillId="0" borderId="30" xfId="0" applyNumberFormat="1" applyFont="1" applyFill="1" applyBorder="1" applyAlignment="1" applyProtection="1">
      <alignment horizontal="center"/>
      <protection locked="0"/>
    </xf>
    <xf numFmtId="165" fontId="28" fillId="0" borderId="3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49" fillId="0" borderId="0" xfId="0" applyFont="1" applyAlignment="1" applyProtection="1">
      <alignment horizontal="left"/>
      <protection locked="0"/>
    </xf>
    <xf numFmtId="0" fontId="28" fillId="0" borderId="0" xfId="0" applyFont="1" applyFill="1" applyBorder="1" applyAlignment="1" applyProtection="1">
      <alignment horizontal="center"/>
      <protection locked="0"/>
    </xf>
    <xf numFmtId="0" fontId="50" fillId="2" borderId="0" xfId="0" applyFont="1" applyFill="1" applyAlignment="1" applyProtection="1">
      <alignment horizontal="left"/>
      <protection locked="0"/>
    </xf>
    <xf numFmtId="0" fontId="51" fillId="5" borderId="0" xfId="0" applyFont="1" applyFill="1" applyAlignment="1" applyProtection="1">
      <alignment horizontal="left"/>
      <protection locked="0"/>
    </xf>
    <xf numFmtId="165" fontId="52" fillId="0" borderId="0" xfId="0" applyNumberFormat="1" applyFont="1" applyFill="1" applyBorder="1" applyAlignment="1" applyProtection="1">
      <alignment horizontal="left" vertical="top"/>
      <protection locked="0"/>
    </xf>
    <xf numFmtId="0" fontId="53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49" fillId="0" borderId="0" xfId="0" applyFont="1" applyProtection="1">
      <protection locked="0"/>
    </xf>
    <xf numFmtId="165" fontId="54" fillId="0" borderId="0" xfId="0" applyNumberFormat="1" applyFont="1" applyBorder="1" applyAlignment="1" applyProtection="1">
      <alignment horizontal="right"/>
      <protection locked="0"/>
    </xf>
    <xf numFmtId="1" fontId="28" fillId="0" borderId="0" xfId="0" applyNumberFormat="1" applyFont="1" applyFill="1" applyBorder="1" applyAlignment="1" applyProtection="1">
      <alignment horizontal="left"/>
      <protection locked="0"/>
    </xf>
    <xf numFmtId="0" fontId="53" fillId="0" borderId="0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55" fillId="0" borderId="0" xfId="0" applyFont="1" applyProtection="1">
      <protection locked="0"/>
    </xf>
    <xf numFmtId="0" fontId="55" fillId="6" borderId="0" xfId="0" applyFont="1" applyFill="1" applyProtection="1">
      <protection locked="0"/>
    </xf>
    <xf numFmtId="0" fontId="56" fillId="5" borderId="0" xfId="0" applyFont="1" applyFill="1" applyAlignment="1" applyProtection="1">
      <alignment horizontal="left"/>
      <protection locked="0"/>
    </xf>
    <xf numFmtId="0" fontId="53" fillId="0" borderId="0" xfId="0" applyFont="1" applyProtection="1">
      <protection locked="0"/>
    </xf>
    <xf numFmtId="165" fontId="57" fillId="0" borderId="0" xfId="0" applyNumberFormat="1" applyFont="1" applyFill="1" applyBorder="1" applyAlignment="1" applyProtection="1">
      <alignment horizontal="left"/>
      <protection locked="0"/>
    </xf>
    <xf numFmtId="0" fontId="28" fillId="0" borderId="0" xfId="0" applyFont="1" applyProtection="1">
      <protection locked="0"/>
    </xf>
    <xf numFmtId="165" fontId="58" fillId="0" borderId="0" xfId="0" applyNumberFormat="1" applyFont="1" applyFill="1" applyBorder="1" applyAlignment="1" applyProtection="1">
      <alignment horizontal="center" vertical="top"/>
      <protection locked="0"/>
    </xf>
    <xf numFmtId="0" fontId="53" fillId="0" borderId="0" xfId="0" applyFont="1" applyFill="1" applyBorder="1" applyProtection="1">
      <protection locked="0"/>
    </xf>
    <xf numFmtId="0" fontId="41" fillId="2" borderId="0" xfId="0" applyFont="1" applyFill="1" applyAlignment="1" applyProtection="1">
      <alignment horizontal="left"/>
      <protection locked="0"/>
    </xf>
    <xf numFmtId="0" fontId="51" fillId="0" borderId="0" xfId="0" applyFont="1" applyAlignment="1" applyProtection="1">
      <alignment horizontal="left"/>
      <protection locked="0"/>
    </xf>
    <xf numFmtId="0" fontId="41" fillId="2" borderId="0" xfId="0" applyFont="1" applyFill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165" fontId="60" fillId="0" borderId="0" xfId="0" applyNumberFormat="1" applyFont="1" applyFill="1" applyBorder="1" applyAlignment="1" applyProtection="1">
      <alignment horizontal="center"/>
      <protection locked="0"/>
    </xf>
    <xf numFmtId="0" fontId="61" fillId="2" borderId="0" xfId="0" applyFont="1" applyFill="1" applyProtection="1">
      <protection locked="0"/>
    </xf>
    <xf numFmtId="0" fontId="48" fillId="0" borderId="19" xfId="0" applyFont="1" applyFill="1" applyBorder="1" applyAlignment="1" applyProtection="1">
      <alignment horizontal="left"/>
      <protection locked="0"/>
    </xf>
    <xf numFmtId="0" fontId="62" fillId="2" borderId="0" xfId="0" applyFont="1" applyFill="1" applyProtection="1">
      <protection locked="0"/>
    </xf>
    <xf numFmtId="0" fontId="63" fillId="2" borderId="0" xfId="0" applyFont="1" applyFill="1" applyProtection="1">
      <protection locked="0"/>
    </xf>
    <xf numFmtId="0" fontId="25" fillId="0" borderId="33" xfId="0" applyFont="1" applyFill="1" applyBorder="1" applyAlignment="1" applyProtection="1">
      <alignment horizontal="right"/>
      <protection locked="0"/>
    </xf>
    <xf numFmtId="166" fontId="25" fillId="0" borderId="34" xfId="0" applyNumberFormat="1" applyFont="1" applyFill="1" applyBorder="1" applyAlignment="1" applyProtection="1">
      <alignment horizontal="center"/>
      <protection locked="0"/>
    </xf>
    <xf numFmtId="0" fontId="25" fillId="0" borderId="34" xfId="0" applyFont="1" applyFill="1" applyBorder="1" applyAlignment="1" applyProtection="1">
      <alignment horizontal="left"/>
      <protection locked="0"/>
    </xf>
    <xf numFmtId="0" fontId="64" fillId="0" borderId="34" xfId="0" applyFont="1" applyFill="1" applyBorder="1" applyProtection="1">
      <protection locked="0"/>
    </xf>
    <xf numFmtId="0" fontId="25" fillId="0" borderId="34" xfId="0" applyFont="1" applyFill="1" applyBorder="1" applyAlignment="1" applyProtection="1">
      <alignment horizontal="right"/>
      <protection locked="0"/>
    </xf>
    <xf numFmtId="0" fontId="64" fillId="0" borderId="35" xfId="0" applyFont="1" applyFill="1" applyBorder="1" applyProtection="1">
      <protection locked="0"/>
    </xf>
    <xf numFmtId="0" fontId="65" fillId="2" borderId="0" xfId="0" applyFont="1" applyFill="1" applyProtection="1">
      <protection locked="0"/>
    </xf>
    <xf numFmtId="0" fontId="64" fillId="0" borderId="0" xfId="0" applyFont="1" applyProtection="1">
      <protection locked="0"/>
    </xf>
    <xf numFmtId="0" fontId="66" fillId="2" borderId="0" xfId="0" applyFont="1" applyFill="1" applyAlignment="1" applyProtection="1">
      <alignment horizontal="left"/>
      <protection locked="0"/>
    </xf>
    <xf numFmtId="0" fontId="68" fillId="2" borderId="0" xfId="1" applyFont="1" applyFill="1" applyAlignment="1" applyProtection="1">
      <alignment horizontal="right"/>
      <protection locked="0"/>
    </xf>
    <xf numFmtId="0" fontId="69" fillId="2" borderId="0" xfId="0" applyFont="1" applyFill="1" applyProtection="1">
      <protection locked="0"/>
    </xf>
    <xf numFmtId="1" fontId="70" fillId="0" borderId="2" xfId="0" applyNumberFormat="1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Protection="1">
      <protection locked="0"/>
    </xf>
    <xf numFmtId="1" fontId="30" fillId="0" borderId="0" xfId="0" applyNumberFormat="1" applyFont="1" applyFill="1" applyBorder="1" applyAlignment="1" applyProtection="1">
      <alignment horizontal="left"/>
      <protection locked="0"/>
    </xf>
    <xf numFmtId="1" fontId="30" fillId="0" borderId="0" xfId="0" applyNumberFormat="1" applyFont="1" applyFill="1" applyAlignment="1" applyProtection="1">
      <alignment horizontal="left"/>
      <protection locked="0"/>
    </xf>
    <xf numFmtId="1" fontId="39" fillId="0" borderId="10" xfId="0" applyNumberFormat="1" applyFont="1" applyFill="1" applyBorder="1" applyAlignment="1" applyProtection="1">
      <alignment horizontal="centerContinuous"/>
      <protection locked="0"/>
    </xf>
    <xf numFmtId="15" fontId="33" fillId="0" borderId="11" xfId="0" applyNumberFormat="1" applyFont="1" applyFill="1" applyBorder="1" applyAlignment="1" applyProtection="1">
      <alignment horizontal="center"/>
      <protection locked="0"/>
    </xf>
    <xf numFmtId="1" fontId="39" fillId="0" borderId="12" xfId="0" applyNumberFormat="1" applyFont="1" applyFill="1" applyBorder="1" applyAlignment="1" applyProtection="1">
      <alignment horizontal="centerContinuous"/>
      <protection locked="0"/>
    </xf>
    <xf numFmtId="1" fontId="39" fillId="0" borderId="15" xfId="0" applyNumberFormat="1" applyFont="1" applyFill="1" applyBorder="1" applyAlignment="1" applyProtection="1">
      <alignment horizontal="centerContinuous"/>
      <protection locked="0"/>
    </xf>
    <xf numFmtId="1" fontId="39" fillId="0" borderId="17" xfId="0" applyNumberFormat="1" applyFont="1" applyFill="1" applyBorder="1" applyAlignment="1" applyProtection="1">
      <alignment horizontal="centerContinuous"/>
      <protection locked="0"/>
    </xf>
    <xf numFmtId="1" fontId="39" fillId="0" borderId="18" xfId="0" applyNumberFormat="1" applyFont="1" applyFill="1" applyBorder="1" applyAlignment="1" applyProtection="1">
      <alignment horizontal="centerContinuous"/>
      <protection locked="0"/>
    </xf>
    <xf numFmtId="0" fontId="2" fillId="0" borderId="19" xfId="0" applyFont="1" applyFill="1" applyBorder="1" applyAlignment="1" applyProtection="1">
      <alignment horizontal="right" vertical="top"/>
      <protection locked="0"/>
    </xf>
    <xf numFmtId="0" fontId="2" fillId="0" borderId="0" xfId="0" applyFont="1" applyFill="1" applyBorder="1" applyAlignment="1" applyProtection="1">
      <alignment horizontal="right" vertical="top"/>
      <protection locked="0"/>
    </xf>
    <xf numFmtId="0" fontId="71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20" xfId="0" applyFont="1" applyFill="1" applyBorder="1" applyProtection="1">
      <protection locked="0"/>
    </xf>
    <xf numFmtId="0" fontId="2" fillId="0" borderId="19" xfId="0" applyFont="1" applyFill="1" applyBorder="1" applyAlignment="1" applyProtection="1">
      <alignment horizontal="right"/>
      <protection locked="0"/>
    </xf>
    <xf numFmtId="165" fontId="2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0" fontId="2" fillId="0" borderId="20" xfId="0" applyFont="1" applyBorder="1" applyProtection="1"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39" fillId="0" borderId="19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right"/>
      <protection locked="0"/>
    </xf>
    <xf numFmtId="0" fontId="32" fillId="0" borderId="21" xfId="0" applyFont="1" applyBorder="1" applyAlignment="1" applyProtection="1">
      <alignment horizontal="center"/>
      <protection locked="0"/>
    </xf>
    <xf numFmtId="0" fontId="32" fillId="0" borderId="22" xfId="0" applyFont="1" applyBorder="1" applyAlignment="1" applyProtection="1">
      <alignment horizontal="center"/>
      <protection locked="0"/>
    </xf>
    <xf numFmtId="0" fontId="32" fillId="0" borderId="23" xfId="0" applyFont="1" applyBorder="1" applyAlignment="1" applyProtection="1">
      <alignment horizontal="center"/>
      <protection locked="0"/>
    </xf>
    <xf numFmtId="0" fontId="39" fillId="0" borderId="0" xfId="0" applyFont="1" applyBorder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0" borderId="20" xfId="0" applyBorder="1" applyProtection="1">
      <protection locked="0"/>
    </xf>
    <xf numFmtId="165" fontId="2" fillId="0" borderId="13" xfId="0" applyNumberFormat="1" applyFont="1" applyBorder="1" applyAlignment="1" applyProtection="1">
      <alignment horizontal="center"/>
      <protection locked="0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2" fillId="0" borderId="25" xfId="0" applyNumberFormat="1" applyFont="1" applyBorder="1" applyAlignment="1" applyProtection="1">
      <alignment horizontal="center"/>
      <protection locked="0"/>
    </xf>
    <xf numFmtId="0" fontId="51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32" fillId="0" borderId="36" xfId="0" applyFont="1" applyBorder="1" applyAlignment="1" applyProtection="1">
      <alignment horizontal="center"/>
      <protection locked="0"/>
    </xf>
    <xf numFmtId="165" fontId="2" fillId="0" borderId="11" xfId="0" applyNumberFormat="1" applyFont="1" applyBorder="1" applyAlignment="1" applyProtection="1">
      <alignment horizontal="center"/>
      <protection locked="0"/>
    </xf>
    <xf numFmtId="165" fontId="2" fillId="0" borderId="0" xfId="0" applyNumberFormat="1" applyFont="1" applyBorder="1" applyAlignment="1" applyProtection="1">
      <alignment horizontal="center"/>
      <protection locked="0"/>
    </xf>
    <xf numFmtId="165" fontId="2" fillId="0" borderId="27" xfId="0" applyNumberFormat="1" applyFont="1" applyBorder="1" applyAlignment="1" applyProtection="1">
      <alignment horizontal="center"/>
      <protection locked="0"/>
    </xf>
    <xf numFmtId="165" fontId="2" fillId="0" borderId="30" xfId="0" applyNumberFormat="1" applyFont="1" applyBorder="1" applyAlignment="1" applyProtection="1">
      <alignment horizontal="center"/>
      <protection locked="0"/>
    </xf>
    <xf numFmtId="165" fontId="2" fillId="0" borderId="10" xfId="0" applyNumberFormat="1" applyFont="1" applyBorder="1" applyAlignment="1" applyProtection="1">
      <alignment horizontal="center"/>
      <protection locked="0"/>
    </xf>
    <xf numFmtId="165" fontId="2" fillId="0" borderId="37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165" fontId="2" fillId="0" borderId="31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3" fillId="0" borderId="31" xfId="0" applyFont="1" applyBorder="1" applyAlignment="1" applyProtection="1">
      <alignment horizontal="center"/>
      <protection locked="0"/>
    </xf>
    <xf numFmtId="0" fontId="33" fillId="0" borderId="19" xfId="0" applyFont="1" applyBorder="1" applyAlignment="1" applyProtection="1">
      <alignment horizontal="left"/>
      <protection locked="0"/>
    </xf>
    <xf numFmtId="1" fontId="2" fillId="0" borderId="11" xfId="0" applyNumberFormat="1" applyFont="1" applyBorder="1" applyAlignment="1" applyProtection="1">
      <alignment horizontal="center"/>
      <protection locked="0"/>
    </xf>
    <xf numFmtId="1" fontId="2" fillId="0" borderId="27" xfId="0" applyNumberFormat="1" applyFont="1" applyBorder="1" applyAlignment="1" applyProtection="1">
      <alignment horizontal="center"/>
      <protection locked="0"/>
    </xf>
    <xf numFmtId="167" fontId="2" fillId="0" borderId="11" xfId="0" applyNumberFormat="1" applyFont="1" applyBorder="1" applyAlignment="1" applyProtection="1">
      <alignment horizontal="center"/>
      <protection locked="0"/>
    </xf>
    <xf numFmtId="167" fontId="2" fillId="0" borderId="27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27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8" fontId="3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Alignment="1" applyProtection="1">
      <alignment horizontal="left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left"/>
      <protection locked="0"/>
    </xf>
    <xf numFmtId="1" fontId="2" fillId="0" borderId="0" xfId="0" applyNumberFormat="1" applyFont="1" applyProtection="1">
      <protection locked="0"/>
    </xf>
    <xf numFmtId="1" fontId="2" fillId="0" borderId="0" xfId="0" applyNumberFormat="1" applyFont="1" applyBorder="1" applyAlignment="1" applyProtection="1">
      <alignment horizontal="right"/>
      <protection locked="0"/>
    </xf>
    <xf numFmtId="10" fontId="2" fillId="0" borderId="0" xfId="0" applyNumberFormat="1" applyFont="1" applyAlignment="1" applyProtection="1">
      <alignment horizontal="left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" fontId="0" fillId="0" borderId="25" xfId="0" applyNumberFormat="1" applyBorder="1" applyAlignment="1" applyProtection="1">
      <alignment horizontal="center"/>
      <protection locked="0"/>
    </xf>
    <xf numFmtId="0" fontId="72" fillId="0" borderId="0" xfId="0" applyFont="1" applyBorder="1" applyAlignment="1" applyProtection="1">
      <alignment horizontal="center"/>
      <protection locked="0"/>
    </xf>
    <xf numFmtId="166" fontId="2" fillId="0" borderId="11" xfId="0" applyNumberFormat="1" applyFont="1" applyBorder="1" applyAlignment="1" applyProtection="1">
      <alignment horizontal="center"/>
      <protection locked="0"/>
    </xf>
    <xf numFmtId="166" fontId="2" fillId="0" borderId="27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73" fillId="2" borderId="0" xfId="0" applyFont="1" applyFill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center"/>
      <protection locked="0"/>
    </xf>
    <xf numFmtId="165" fontId="54" fillId="0" borderId="0" xfId="0" applyNumberFormat="1" applyFont="1" applyBorder="1" applyAlignment="1" applyProtection="1">
      <alignment horizontal="left"/>
      <protection locked="0"/>
    </xf>
    <xf numFmtId="0" fontId="2" fillId="0" borderId="27" xfId="0" applyFont="1" applyBorder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left"/>
      <protection locked="0"/>
    </xf>
    <xf numFmtId="0" fontId="74" fillId="0" borderId="19" xfId="0" applyFont="1" applyBorder="1" applyAlignment="1" applyProtection="1">
      <alignment horizontal="center"/>
      <protection locked="0"/>
    </xf>
    <xf numFmtId="168" fontId="68" fillId="0" borderId="0" xfId="0" applyNumberFormat="1" applyFont="1" applyBorder="1" applyAlignment="1" applyProtection="1">
      <alignment horizontal="right"/>
      <protection locked="0"/>
    </xf>
    <xf numFmtId="165" fontId="0" fillId="0" borderId="0" xfId="0" applyNumberFormat="1" applyBorder="1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/>
    </xf>
    <xf numFmtId="166" fontId="2" fillId="0" borderId="0" xfId="0" applyNumberFormat="1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167" fontId="0" fillId="0" borderId="0" xfId="0" applyNumberFormat="1" applyBorder="1" applyAlignment="1" applyProtection="1">
      <alignment horizontal="left"/>
      <protection locked="0"/>
    </xf>
    <xf numFmtId="167" fontId="0" fillId="0" borderId="0" xfId="0" applyNumberFormat="1" applyBorder="1" applyAlignment="1" applyProtection="1">
      <alignment horizontal="right"/>
      <protection locked="0"/>
    </xf>
    <xf numFmtId="165" fontId="2" fillId="0" borderId="0" xfId="0" applyNumberFormat="1" applyFont="1" applyBorder="1" applyAlignment="1" applyProtection="1">
      <alignment horizontal="left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1" fontId="0" fillId="0" borderId="0" xfId="0" applyNumberForma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right"/>
      <protection locked="0"/>
    </xf>
    <xf numFmtId="166" fontId="2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75" fillId="0" borderId="0" xfId="0" applyFont="1" applyBorder="1" applyAlignment="1" applyProtection="1">
      <alignment horizontal="right"/>
      <protection locked="0"/>
    </xf>
    <xf numFmtId="1" fontId="2" fillId="0" borderId="0" xfId="0" applyNumberFormat="1" applyFont="1" applyAlignment="1" applyProtection="1">
      <alignment horizontal="left"/>
      <protection locked="0"/>
    </xf>
    <xf numFmtId="0" fontId="76" fillId="7" borderId="0" xfId="0" applyFont="1" applyFill="1" applyBorder="1" applyAlignment="1" applyProtection="1">
      <alignment horizontal="left"/>
      <protection locked="0"/>
    </xf>
    <xf numFmtId="166" fontId="0" fillId="0" borderId="0" xfId="0" applyNumberFormat="1" applyAlignment="1" applyProtection="1">
      <alignment horizontal="left"/>
      <protection locked="0"/>
    </xf>
    <xf numFmtId="0" fontId="25" fillId="0" borderId="33" xfId="0" applyFont="1" applyBorder="1" applyAlignment="1" applyProtection="1">
      <alignment horizontal="right"/>
      <protection locked="0"/>
    </xf>
    <xf numFmtId="0" fontId="25" fillId="0" borderId="34" xfId="0" applyFont="1" applyBorder="1" applyAlignment="1" applyProtection="1">
      <alignment horizontal="left"/>
      <protection locked="0"/>
    </xf>
    <xf numFmtId="0" fontId="25" fillId="0" borderId="34" xfId="0" applyFont="1" applyBorder="1" applyProtection="1">
      <protection locked="0"/>
    </xf>
    <xf numFmtId="0" fontId="25" fillId="0" borderId="34" xfId="0" applyFont="1" applyBorder="1" applyAlignment="1" applyProtection="1">
      <alignment horizontal="right"/>
      <protection locked="0"/>
    </xf>
    <xf numFmtId="165" fontId="77" fillId="0" borderId="34" xfId="0" applyNumberFormat="1" applyFont="1" applyBorder="1" applyAlignment="1" applyProtection="1">
      <alignment horizontal="left"/>
      <protection locked="0"/>
    </xf>
    <xf numFmtId="0" fontId="78" fillId="0" borderId="34" xfId="0" applyFont="1" applyBorder="1" applyProtection="1">
      <protection locked="0"/>
    </xf>
    <xf numFmtId="0" fontId="25" fillId="0" borderId="35" xfId="0" applyFont="1" applyBorder="1" applyProtection="1">
      <protection locked="0"/>
    </xf>
    <xf numFmtId="0" fontId="79" fillId="2" borderId="0" xfId="0" applyFont="1" applyFill="1" applyProtection="1">
      <protection locked="0"/>
    </xf>
    <xf numFmtId="0" fontId="25" fillId="0" borderId="0" xfId="0" applyFont="1" applyProtection="1">
      <protection locked="0"/>
    </xf>
    <xf numFmtId="0" fontId="2" fillId="6" borderId="0" xfId="0" applyFont="1" applyFill="1" applyProtection="1">
      <protection locked="0"/>
    </xf>
    <xf numFmtId="0" fontId="0" fillId="9" borderId="0" xfId="0" applyFill="1" applyProtection="1">
      <protection locked="0"/>
    </xf>
    <xf numFmtId="0" fontId="0" fillId="9" borderId="0" xfId="0" applyFill="1" applyProtection="1"/>
    <xf numFmtId="0" fontId="35" fillId="10" borderId="0" xfId="0" applyFont="1" applyFill="1" applyAlignment="1" applyProtection="1">
      <alignment horizontal="center"/>
    </xf>
    <xf numFmtId="0" fontId="80" fillId="9" borderId="0" xfId="0" applyFont="1" applyFill="1" applyAlignment="1" applyProtection="1">
      <alignment horizontal="center"/>
    </xf>
    <xf numFmtId="0" fontId="40" fillId="10" borderId="0" xfId="0" applyFont="1" applyFill="1" applyAlignment="1" applyProtection="1">
      <alignment horizontal="center" vertical="top"/>
    </xf>
    <xf numFmtId="0" fontId="72" fillId="0" borderId="13" xfId="0" applyFont="1" applyBorder="1" applyAlignment="1" applyProtection="1">
      <alignment horizontal="center"/>
      <protection locked="0"/>
    </xf>
    <xf numFmtId="0" fontId="72" fillId="0" borderId="25" xfId="0" applyFont="1" applyBorder="1" applyAlignment="1" applyProtection="1">
      <alignment horizontal="center"/>
      <protection locked="0"/>
    </xf>
    <xf numFmtId="0" fontId="72" fillId="0" borderId="0" xfId="0" applyFont="1" applyBorder="1" applyAlignment="1" applyProtection="1">
      <alignment horizontal="center"/>
      <protection locked="0"/>
    </xf>
    <xf numFmtId="0" fontId="81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0" applyAlignment="1" applyProtection="1">
      <alignment horizontal="left"/>
    </xf>
    <xf numFmtId="165" fontId="0" fillId="0" borderId="11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 applyProtection="1">
      <alignment horizontal="center"/>
      <protection locked="0"/>
    </xf>
    <xf numFmtId="0" fontId="62" fillId="0" borderId="0" xfId="0" applyFont="1" applyFill="1" applyBorder="1" applyAlignment="1" applyProtection="1">
      <alignment horizontal="right" vertical="center" wrapText="1"/>
      <protection locked="0"/>
    </xf>
    <xf numFmtId="0" fontId="14" fillId="0" borderId="7" xfId="0" applyFont="1" applyBorder="1" applyAlignment="1" applyProtection="1">
      <alignment vertical="center" wrapText="1"/>
      <protection locked="0"/>
    </xf>
    <xf numFmtId="0" fontId="14" fillId="0" borderId="0" xfId="0" applyFont="1" applyBorder="1" applyAlignment="1" applyProtection="1">
      <alignment vertical="center" wrapText="1"/>
      <protection locked="0"/>
    </xf>
    <xf numFmtId="0" fontId="32" fillId="0" borderId="26" xfId="0" applyFont="1" applyBorder="1" applyAlignment="1" applyProtection="1">
      <alignment horizontal="center"/>
      <protection locked="0"/>
    </xf>
    <xf numFmtId="165" fontId="0" fillId="0" borderId="13" xfId="0" applyNumberFormat="1" applyBorder="1" applyAlignment="1" applyProtection="1">
      <alignment horizontal="center"/>
      <protection locked="0"/>
    </xf>
    <xf numFmtId="165" fontId="0" fillId="0" borderId="25" xfId="0" applyNumberForma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43" fillId="0" borderId="0" xfId="0" applyFont="1" applyFill="1" applyBorder="1" applyAlignment="1" applyProtection="1">
      <alignment horizontal="left" vertical="top" indent="2"/>
      <protection locked="0"/>
    </xf>
    <xf numFmtId="0" fontId="43" fillId="0" borderId="20" xfId="0" applyFont="1" applyFill="1" applyBorder="1" applyAlignment="1" applyProtection="1">
      <alignment horizontal="left" vertical="top" indent="2"/>
      <protection locked="0"/>
    </xf>
    <xf numFmtId="0" fontId="45" fillId="0" borderId="0" xfId="0" applyFont="1" applyFill="1" applyBorder="1" applyAlignment="1" applyProtection="1">
      <alignment horizontal="left" vertical="top" wrapText="1"/>
      <protection locked="0"/>
    </xf>
    <xf numFmtId="0" fontId="45" fillId="0" borderId="20" xfId="0" applyFont="1" applyFill="1" applyBorder="1" applyAlignment="1" applyProtection="1">
      <alignment horizontal="left" vertical="top" wrapText="1"/>
      <protection locked="0"/>
    </xf>
    <xf numFmtId="0" fontId="5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1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22" fillId="0" borderId="7" xfId="0" applyFont="1" applyFill="1" applyBorder="1" applyAlignment="1" applyProtection="1">
      <alignment horizontal="center" vertical="center" wrapText="1"/>
      <protection locked="0"/>
    </xf>
    <xf numFmtId="0" fontId="14" fillId="3" borderId="6" xfId="0" applyFont="1" applyFill="1" applyBorder="1" applyAlignment="1" applyProtection="1">
      <alignment horizontal="left" wrapText="1"/>
      <protection locked="0"/>
    </xf>
    <xf numFmtId="0" fontId="26" fillId="0" borderId="6" xfId="0" applyFont="1" applyBorder="1" applyAlignment="1" applyProtection="1">
      <alignment wrapText="1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24">
    <dxf>
      <font>
        <condense val="0"/>
        <extend val="0"/>
        <color indexed="22"/>
      </font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4"/>
      </font>
    </dxf>
    <dxf>
      <font>
        <b val="0"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u val="none"/>
        <color indexed="14"/>
      </font>
    </dxf>
    <dxf>
      <font>
        <condense val="0"/>
        <extend val="0"/>
        <u val="none"/>
        <color indexed="14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u val="none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027918731482643E-2"/>
          <c:y val="2.3148922189536132E-2"/>
          <c:w val="0.95949111496763384"/>
          <c:h val="0.96299516308470312"/>
        </c:manualLayout>
      </c:layout>
      <c:scatterChart>
        <c:scatterStyle val="lineMarker"/>
        <c:varyColors val="0"/>
        <c:ser>
          <c:idx val="2"/>
          <c:order val="0"/>
          <c:tx>
            <c:v>Control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[1]Graf!$J$29:$K$29</c:f>
              <c:numCache>
                <c:formatCode>General</c:formatCode>
                <c:ptCount val="2"/>
                <c:pt idx="0">
                  <c:v>0</c:v>
                </c:pt>
                <c:pt idx="1">
                  <c:v>1826</c:v>
                </c:pt>
              </c:numCache>
            </c:numRef>
          </c:xVal>
          <c:yVal>
            <c:numRef>
              <c:f>[1]Graf!$J$30:$K$30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yVal>
          <c:smooth val="0"/>
        </c:ser>
        <c:ser>
          <c:idx val="0"/>
          <c:order val="1"/>
          <c:tx>
            <c:v>Cap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[1]Graf!$C$29:$I$29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1350</c:v>
                </c:pt>
                <c:pt idx="5">
                  <c:v>650</c:v>
                </c:pt>
                <c:pt idx="6">
                  <c:v>0</c:v>
                </c:pt>
              </c:numCache>
            </c:numRef>
          </c:xVal>
          <c:yVal>
            <c:numRef>
              <c:f>[1]Graf!$C$30:$I$30</c:f>
              <c:numCache>
                <c:formatCode>General</c:formatCode>
                <c:ptCount val="7"/>
                <c:pt idx="0">
                  <c:v>1126</c:v>
                </c:pt>
                <c:pt idx="1">
                  <c:v>1826</c:v>
                </c:pt>
                <c:pt idx="2">
                  <c:v>1826</c:v>
                </c:pt>
                <c:pt idx="3">
                  <c:v>1126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</c:numCache>
            </c:numRef>
          </c:yVal>
          <c:smooth val="0"/>
        </c:ser>
        <c:ser>
          <c:idx val="3"/>
          <c:order val="2"/>
          <c:tx>
            <c:v>Pile 1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[1]Graf!$C$36:$AM$36</c:f>
              <c:numCache>
                <c:formatCode>General</c:formatCode>
                <c:ptCount val="37"/>
                <c:pt idx="0">
                  <c:v>1000</c:v>
                </c:pt>
                <c:pt idx="1">
                  <c:v>967.44096668745055</c:v>
                </c:pt>
                <c:pt idx="2">
                  <c:v>935.87122312643714</c:v>
                </c:pt>
                <c:pt idx="3">
                  <c:v>906.25</c:v>
                </c:pt>
                <c:pt idx="4">
                  <c:v>879.47732318377393</c:v>
                </c:pt>
                <c:pt idx="5">
                  <c:v>856.36666691519167</c:v>
                </c:pt>
                <c:pt idx="6">
                  <c:v>837.62023679041772</c:v>
                </c:pt>
                <c:pt idx="7">
                  <c:v>823.80763360264223</c:v>
                </c:pt>
                <c:pt idx="8">
                  <c:v>815.34854631021096</c:v>
                </c:pt>
                <c:pt idx="9">
                  <c:v>812.5</c:v>
                </c:pt>
                <c:pt idx="10">
                  <c:v>815.34854631021096</c:v>
                </c:pt>
                <c:pt idx="11">
                  <c:v>823.80763360264223</c:v>
                </c:pt>
                <c:pt idx="12">
                  <c:v>837.62023679041772</c:v>
                </c:pt>
                <c:pt idx="13">
                  <c:v>856.36666691519167</c:v>
                </c:pt>
                <c:pt idx="14">
                  <c:v>879.47732318377393</c:v>
                </c:pt>
                <c:pt idx="15">
                  <c:v>906.25</c:v>
                </c:pt>
                <c:pt idx="16">
                  <c:v>935.87122312643714</c:v>
                </c:pt>
                <c:pt idx="17">
                  <c:v>967.44096668745055</c:v>
                </c:pt>
                <c:pt idx="18">
                  <c:v>1000</c:v>
                </c:pt>
                <c:pt idx="19">
                  <c:v>1032.5590333125494</c:v>
                </c:pt>
                <c:pt idx="20">
                  <c:v>1064.1287768735629</c:v>
                </c:pt>
                <c:pt idx="21">
                  <c:v>1093.75</c:v>
                </c:pt>
                <c:pt idx="22">
                  <c:v>1120.5226768162261</c:v>
                </c:pt>
                <c:pt idx="23">
                  <c:v>1143.6333330848083</c:v>
                </c:pt>
                <c:pt idx="24">
                  <c:v>1162.3797632095823</c:v>
                </c:pt>
                <c:pt idx="25">
                  <c:v>1176.1923663973578</c:v>
                </c:pt>
                <c:pt idx="26">
                  <c:v>1184.6514536897889</c:v>
                </c:pt>
                <c:pt idx="27">
                  <c:v>1187.5</c:v>
                </c:pt>
                <c:pt idx="28">
                  <c:v>1184.6514536897889</c:v>
                </c:pt>
                <c:pt idx="29">
                  <c:v>1176.1923663973578</c:v>
                </c:pt>
                <c:pt idx="30">
                  <c:v>1162.3797632095823</c:v>
                </c:pt>
                <c:pt idx="31">
                  <c:v>1143.6333330848083</c:v>
                </c:pt>
                <c:pt idx="32">
                  <c:v>1120.5226768162261</c:v>
                </c:pt>
                <c:pt idx="33">
                  <c:v>1093.75</c:v>
                </c:pt>
                <c:pt idx="34">
                  <c:v>1064.1287768735629</c:v>
                </c:pt>
                <c:pt idx="35">
                  <c:v>1032.5590333125494</c:v>
                </c:pt>
                <c:pt idx="36">
                  <c:v>1000</c:v>
                </c:pt>
              </c:numCache>
            </c:numRef>
          </c:xVal>
          <c:yVal>
            <c:numRef>
              <c:f>[1]Graf!$C$39:$AM$39</c:f>
              <c:numCache>
                <c:formatCode>General</c:formatCode>
                <c:ptCount val="37"/>
                <c:pt idx="0">
                  <c:v>162.5</c:v>
                </c:pt>
                <c:pt idx="1">
                  <c:v>165.34854631021099</c:v>
                </c:pt>
                <c:pt idx="2">
                  <c:v>173.80763360264217</c:v>
                </c:pt>
                <c:pt idx="3">
                  <c:v>187.62023679041775</c:v>
                </c:pt>
                <c:pt idx="4">
                  <c:v>206.36666691519159</c:v>
                </c:pt>
                <c:pt idx="5">
                  <c:v>229.47732318377388</c:v>
                </c:pt>
                <c:pt idx="6">
                  <c:v>256.25</c:v>
                </c:pt>
                <c:pt idx="7">
                  <c:v>285.87122312643703</c:v>
                </c:pt>
                <c:pt idx="8">
                  <c:v>317.4409666874505</c:v>
                </c:pt>
                <c:pt idx="9">
                  <c:v>350</c:v>
                </c:pt>
                <c:pt idx="10">
                  <c:v>382.5590333125495</c:v>
                </c:pt>
                <c:pt idx="11">
                  <c:v>414.12877687356286</c:v>
                </c:pt>
                <c:pt idx="12">
                  <c:v>443.75</c:v>
                </c:pt>
                <c:pt idx="13">
                  <c:v>470.52267681622612</c:v>
                </c:pt>
                <c:pt idx="14">
                  <c:v>493.63333308480838</c:v>
                </c:pt>
                <c:pt idx="15">
                  <c:v>512.37976320958228</c:v>
                </c:pt>
                <c:pt idx="16">
                  <c:v>526.19236639735777</c:v>
                </c:pt>
                <c:pt idx="17">
                  <c:v>534.65145368978904</c:v>
                </c:pt>
                <c:pt idx="18">
                  <c:v>537.5</c:v>
                </c:pt>
                <c:pt idx="19">
                  <c:v>534.65145368978904</c:v>
                </c:pt>
                <c:pt idx="20">
                  <c:v>526.19236639735777</c:v>
                </c:pt>
                <c:pt idx="21">
                  <c:v>512.37976320958228</c:v>
                </c:pt>
                <c:pt idx="22">
                  <c:v>493.63333308480838</c:v>
                </c:pt>
                <c:pt idx="23">
                  <c:v>470.52267681622612</c:v>
                </c:pt>
                <c:pt idx="24">
                  <c:v>443.75</c:v>
                </c:pt>
                <c:pt idx="25">
                  <c:v>414.12877687356286</c:v>
                </c:pt>
                <c:pt idx="26">
                  <c:v>382.5590333125495</c:v>
                </c:pt>
                <c:pt idx="27">
                  <c:v>350</c:v>
                </c:pt>
                <c:pt idx="28">
                  <c:v>317.4409666874505</c:v>
                </c:pt>
                <c:pt idx="29">
                  <c:v>285.87122312643714</c:v>
                </c:pt>
                <c:pt idx="30">
                  <c:v>256.25</c:v>
                </c:pt>
                <c:pt idx="31">
                  <c:v>229.47732318377388</c:v>
                </c:pt>
                <c:pt idx="32">
                  <c:v>206.36666691519162</c:v>
                </c:pt>
                <c:pt idx="33">
                  <c:v>187.62023679041775</c:v>
                </c:pt>
                <c:pt idx="34">
                  <c:v>173.8076336026422</c:v>
                </c:pt>
                <c:pt idx="35">
                  <c:v>165.34854631021099</c:v>
                </c:pt>
                <c:pt idx="36">
                  <c:v>162.5</c:v>
                </c:pt>
              </c:numCache>
            </c:numRef>
          </c:yVal>
          <c:smooth val="1"/>
        </c:ser>
        <c:ser>
          <c:idx val="4"/>
          <c:order val="3"/>
          <c:tx>
            <c:v>Pile 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[1]Graf!$C$37:$AM$37</c:f>
              <c:numCache>
                <c:formatCode>General</c:formatCode>
                <c:ptCount val="37"/>
                <c:pt idx="0">
                  <c:v>350</c:v>
                </c:pt>
                <c:pt idx="1">
                  <c:v>317.44096668745055</c:v>
                </c:pt>
                <c:pt idx="2">
                  <c:v>285.87122312643714</c:v>
                </c:pt>
                <c:pt idx="3">
                  <c:v>256.25</c:v>
                </c:pt>
                <c:pt idx="4">
                  <c:v>229.47732318377388</c:v>
                </c:pt>
                <c:pt idx="5">
                  <c:v>206.36666691519162</c:v>
                </c:pt>
                <c:pt idx="6">
                  <c:v>187.62023679041775</c:v>
                </c:pt>
                <c:pt idx="7">
                  <c:v>173.8076336026422</c:v>
                </c:pt>
                <c:pt idx="8">
                  <c:v>165.34854631021099</c:v>
                </c:pt>
                <c:pt idx="9">
                  <c:v>162.5</c:v>
                </c:pt>
                <c:pt idx="10">
                  <c:v>165.34854631021099</c:v>
                </c:pt>
                <c:pt idx="11">
                  <c:v>173.80763360264217</c:v>
                </c:pt>
                <c:pt idx="12">
                  <c:v>187.62023679041775</c:v>
                </c:pt>
                <c:pt idx="13">
                  <c:v>206.36666691519162</c:v>
                </c:pt>
                <c:pt idx="14">
                  <c:v>229.47732318377388</c:v>
                </c:pt>
                <c:pt idx="15">
                  <c:v>256.25</c:v>
                </c:pt>
                <c:pt idx="16">
                  <c:v>285.87122312643709</c:v>
                </c:pt>
                <c:pt idx="17">
                  <c:v>317.44096668745055</c:v>
                </c:pt>
                <c:pt idx="18">
                  <c:v>350</c:v>
                </c:pt>
                <c:pt idx="19">
                  <c:v>382.55903331254945</c:v>
                </c:pt>
                <c:pt idx="20">
                  <c:v>414.12877687356291</c:v>
                </c:pt>
                <c:pt idx="21">
                  <c:v>443.75</c:v>
                </c:pt>
                <c:pt idx="22">
                  <c:v>470.52267681622612</c:v>
                </c:pt>
                <c:pt idx="23">
                  <c:v>493.63333308480838</c:v>
                </c:pt>
                <c:pt idx="24">
                  <c:v>512.37976320958228</c:v>
                </c:pt>
                <c:pt idx="25">
                  <c:v>526.19236639735777</c:v>
                </c:pt>
                <c:pt idx="26">
                  <c:v>534.65145368978904</c:v>
                </c:pt>
                <c:pt idx="27">
                  <c:v>537.5</c:v>
                </c:pt>
                <c:pt idx="28">
                  <c:v>534.65145368978904</c:v>
                </c:pt>
                <c:pt idx="29">
                  <c:v>526.19236639735777</c:v>
                </c:pt>
                <c:pt idx="30">
                  <c:v>512.37976320958228</c:v>
                </c:pt>
                <c:pt idx="31">
                  <c:v>493.63333308480838</c:v>
                </c:pt>
                <c:pt idx="32">
                  <c:v>470.52267681622612</c:v>
                </c:pt>
                <c:pt idx="33">
                  <c:v>443.75</c:v>
                </c:pt>
                <c:pt idx="34">
                  <c:v>414.12877687356291</c:v>
                </c:pt>
                <c:pt idx="35">
                  <c:v>382.55903331254945</c:v>
                </c:pt>
                <c:pt idx="36">
                  <c:v>350</c:v>
                </c:pt>
              </c:numCache>
            </c:numRef>
          </c:xVal>
          <c:yVal>
            <c:numRef>
              <c:f>[1]Graf!$C$40:$AM$40</c:f>
              <c:numCache>
                <c:formatCode>General</c:formatCode>
                <c:ptCount val="37"/>
                <c:pt idx="0">
                  <c:v>1288.5</c:v>
                </c:pt>
                <c:pt idx="1">
                  <c:v>1291.3485463102111</c:v>
                </c:pt>
                <c:pt idx="2">
                  <c:v>1299.8076336026422</c:v>
                </c:pt>
                <c:pt idx="3">
                  <c:v>1313.6202367904177</c:v>
                </c:pt>
                <c:pt idx="4">
                  <c:v>1332.3666669151917</c:v>
                </c:pt>
                <c:pt idx="5">
                  <c:v>1355.4773231837739</c:v>
                </c:pt>
                <c:pt idx="6">
                  <c:v>1382.25</c:v>
                </c:pt>
                <c:pt idx="7">
                  <c:v>1411.8712231264371</c:v>
                </c:pt>
                <c:pt idx="8">
                  <c:v>1443.4409666874506</c:v>
                </c:pt>
                <c:pt idx="9">
                  <c:v>1476</c:v>
                </c:pt>
                <c:pt idx="10">
                  <c:v>1508.5590333125494</c:v>
                </c:pt>
                <c:pt idx="11">
                  <c:v>1540.1287768735629</c:v>
                </c:pt>
                <c:pt idx="12">
                  <c:v>1569.75</c:v>
                </c:pt>
                <c:pt idx="13">
                  <c:v>1596.5226768162261</c:v>
                </c:pt>
                <c:pt idx="14">
                  <c:v>1619.6333330848083</c:v>
                </c:pt>
                <c:pt idx="15">
                  <c:v>1638.3797632095823</c:v>
                </c:pt>
                <c:pt idx="16">
                  <c:v>1652.1923663973578</c:v>
                </c:pt>
                <c:pt idx="17">
                  <c:v>1660.6514536897889</c:v>
                </c:pt>
                <c:pt idx="18">
                  <c:v>1663.5</c:v>
                </c:pt>
                <c:pt idx="19">
                  <c:v>1660.6514536897889</c:v>
                </c:pt>
                <c:pt idx="20">
                  <c:v>1652.1923663973578</c:v>
                </c:pt>
                <c:pt idx="21">
                  <c:v>1638.3797632095823</c:v>
                </c:pt>
                <c:pt idx="22">
                  <c:v>1619.6333330848083</c:v>
                </c:pt>
                <c:pt idx="23">
                  <c:v>1596.5226768162261</c:v>
                </c:pt>
                <c:pt idx="24">
                  <c:v>1569.75</c:v>
                </c:pt>
                <c:pt idx="25">
                  <c:v>1540.1287768735629</c:v>
                </c:pt>
                <c:pt idx="26">
                  <c:v>1508.5590333125494</c:v>
                </c:pt>
                <c:pt idx="27">
                  <c:v>1476</c:v>
                </c:pt>
                <c:pt idx="28">
                  <c:v>1443.4409666874506</c:v>
                </c:pt>
                <c:pt idx="29">
                  <c:v>1411.8712231264371</c:v>
                </c:pt>
                <c:pt idx="30">
                  <c:v>1382.25</c:v>
                </c:pt>
                <c:pt idx="31">
                  <c:v>1355.4773231837739</c:v>
                </c:pt>
                <c:pt idx="32">
                  <c:v>1332.3666669151917</c:v>
                </c:pt>
                <c:pt idx="33">
                  <c:v>1313.6202367904177</c:v>
                </c:pt>
                <c:pt idx="34">
                  <c:v>1299.8076336026422</c:v>
                </c:pt>
                <c:pt idx="35">
                  <c:v>1291.3485463102111</c:v>
                </c:pt>
                <c:pt idx="36">
                  <c:v>1288.5</c:v>
                </c:pt>
              </c:numCache>
            </c:numRef>
          </c:yVal>
          <c:smooth val="1"/>
        </c:ser>
        <c:ser>
          <c:idx val="5"/>
          <c:order val="4"/>
          <c:tx>
            <c:v>Fill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[1]Graf!$I$31:$AH$31</c:f>
              <c:numCache>
                <c:formatCode>General</c:formatCode>
                <c:ptCount val="26"/>
                <c:pt idx="0">
                  <c:v>880</c:v>
                </c:pt>
                <c:pt idx="1">
                  <c:v>880</c:v>
                </c:pt>
                <c:pt idx="3">
                  <c:v>910</c:v>
                </c:pt>
                <c:pt idx="4">
                  <c:v>910</c:v>
                </c:pt>
                <c:pt idx="6">
                  <c:v>940</c:v>
                </c:pt>
                <c:pt idx="7">
                  <c:v>940</c:v>
                </c:pt>
                <c:pt idx="9">
                  <c:v>970</c:v>
                </c:pt>
                <c:pt idx="10">
                  <c:v>970</c:v>
                </c:pt>
                <c:pt idx="12">
                  <c:v>1000</c:v>
                </c:pt>
                <c:pt idx="13">
                  <c:v>1000</c:v>
                </c:pt>
                <c:pt idx="15">
                  <c:v>1030</c:v>
                </c:pt>
                <c:pt idx="16">
                  <c:v>1030</c:v>
                </c:pt>
                <c:pt idx="18">
                  <c:v>1060</c:v>
                </c:pt>
                <c:pt idx="19">
                  <c:v>1060</c:v>
                </c:pt>
                <c:pt idx="21">
                  <c:v>1090</c:v>
                </c:pt>
                <c:pt idx="22">
                  <c:v>1090</c:v>
                </c:pt>
                <c:pt idx="24">
                  <c:v>1120</c:v>
                </c:pt>
                <c:pt idx="25">
                  <c:v>1120</c:v>
                </c:pt>
              </c:numCache>
            </c:numRef>
          </c:xVal>
          <c:yVal>
            <c:numRef>
              <c:f>[1]Graf!$I$32:$AH$32</c:f>
              <c:numCache>
                <c:formatCode>General</c:formatCode>
                <c:ptCount val="26"/>
                <c:pt idx="0">
                  <c:v>950.66666666666674</c:v>
                </c:pt>
                <c:pt idx="1">
                  <c:v>1250.6666666666667</c:v>
                </c:pt>
                <c:pt idx="3">
                  <c:v>950.66666666666674</c:v>
                </c:pt>
                <c:pt idx="4">
                  <c:v>1250.6666666666667</c:v>
                </c:pt>
                <c:pt idx="6">
                  <c:v>950.66666666666674</c:v>
                </c:pt>
                <c:pt idx="7">
                  <c:v>1250.6666666666667</c:v>
                </c:pt>
                <c:pt idx="9">
                  <c:v>950.66666666666674</c:v>
                </c:pt>
                <c:pt idx="10">
                  <c:v>1250.6666666666667</c:v>
                </c:pt>
                <c:pt idx="12">
                  <c:v>950.66666666666674</c:v>
                </c:pt>
                <c:pt idx="13">
                  <c:v>1250.6666666666667</c:v>
                </c:pt>
                <c:pt idx="15">
                  <c:v>950.66666666666674</c:v>
                </c:pt>
                <c:pt idx="16">
                  <c:v>1250.6666666666667</c:v>
                </c:pt>
                <c:pt idx="18">
                  <c:v>950.66666666666674</c:v>
                </c:pt>
                <c:pt idx="19">
                  <c:v>1250.6666666666667</c:v>
                </c:pt>
                <c:pt idx="21">
                  <c:v>950.66666666666674</c:v>
                </c:pt>
                <c:pt idx="22">
                  <c:v>1250.6666666666667</c:v>
                </c:pt>
                <c:pt idx="24">
                  <c:v>950.66666666666674</c:v>
                </c:pt>
                <c:pt idx="25">
                  <c:v>1250.6666666666667</c:v>
                </c:pt>
              </c:numCache>
            </c:numRef>
          </c:yVal>
          <c:smooth val="0"/>
        </c:ser>
        <c:ser>
          <c:idx val="1"/>
          <c:order val="5"/>
          <c:tx>
            <c:v>Column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[1]Graf!$C$31:$G$31</c:f>
              <c:numCache>
                <c:formatCode>General</c:formatCode>
                <c:ptCount val="5"/>
                <c:pt idx="0">
                  <c:v>850</c:v>
                </c:pt>
                <c:pt idx="1">
                  <c:v>850</c:v>
                </c:pt>
                <c:pt idx="2">
                  <c:v>1150</c:v>
                </c:pt>
                <c:pt idx="3">
                  <c:v>1150</c:v>
                </c:pt>
                <c:pt idx="4">
                  <c:v>850</c:v>
                </c:pt>
              </c:numCache>
            </c:numRef>
          </c:xVal>
          <c:yVal>
            <c:numRef>
              <c:f>[1]Graf!$C$32:$G$32</c:f>
              <c:numCache>
                <c:formatCode>General</c:formatCode>
                <c:ptCount val="5"/>
                <c:pt idx="0">
                  <c:v>950.66666666666674</c:v>
                </c:pt>
                <c:pt idx="1">
                  <c:v>1250.6666666666667</c:v>
                </c:pt>
                <c:pt idx="2">
                  <c:v>1250.6666666666667</c:v>
                </c:pt>
                <c:pt idx="3">
                  <c:v>950.66666666666674</c:v>
                </c:pt>
                <c:pt idx="4">
                  <c:v>950.66666666666674</c:v>
                </c:pt>
              </c:numCache>
            </c:numRef>
          </c:yVal>
          <c:smooth val="0"/>
        </c:ser>
        <c:ser>
          <c:idx val="6"/>
          <c:order val="6"/>
          <c:tx>
            <c:v>Pile 3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[1]Graf!$C$38:$AM$38</c:f>
              <c:numCache>
                <c:formatCode>General</c:formatCode>
                <c:ptCount val="37"/>
                <c:pt idx="0">
                  <c:v>1650</c:v>
                </c:pt>
                <c:pt idx="1">
                  <c:v>1617.4409666874506</c:v>
                </c:pt>
                <c:pt idx="2">
                  <c:v>1585.8712231264371</c:v>
                </c:pt>
                <c:pt idx="3">
                  <c:v>1556.25</c:v>
                </c:pt>
                <c:pt idx="4">
                  <c:v>1529.4773231837739</c:v>
                </c:pt>
                <c:pt idx="5">
                  <c:v>1506.3666669151917</c:v>
                </c:pt>
                <c:pt idx="6">
                  <c:v>1487.6202367904177</c:v>
                </c:pt>
                <c:pt idx="7">
                  <c:v>1473.8076336026422</c:v>
                </c:pt>
                <c:pt idx="8">
                  <c:v>1465.3485463102111</c:v>
                </c:pt>
                <c:pt idx="9">
                  <c:v>1462.5</c:v>
                </c:pt>
                <c:pt idx="10">
                  <c:v>1465.3485463102111</c:v>
                </c:pt>
                <c:pt idx="11">
                  <c:v>1473.8076336026422</c:v>
                </c:pt>
                <c:pt idx="12">
                  <c:v>1487.6202367904177</c:v>
                </c:pt>
                <c:pt idx="13">
                  <c:v>1506.3666669151917</c:v>
                </c:pt>
                <c:pt idx="14">
                  <c:v>1529.4773231837739</c:v>
                </c:pt>
                <c:pt idx="15">
                  <c:v>1556.25</c:v>
                </c:pt>
                <c:pt idx="16">
                  <c:v>1585.8712231264371</c:v>
                </c:pt>
                <c:pt idx="17">
                  <c:v>1617.4409666874506</c:v>
                </c:pt>
                <c:pt idx="18">
                  <c:v>1650</c:v>
                </c:pt>
                <c:pt idx="19">
                  <c:v>1682.5590333125494</c:v>
                </c:pt>
                <c:pt idx="20">
                  <c:v>1714.1287768735629</c:v>
                </c:pt>
                <c:pt idx="21">
                  <c:v>1743.75</c:v>
                </c:pt>
                <c:pt idx="22">
                  <c:v>1770.5226768162261</c:v>
                </c:pt>
                <c:pt idx="23">
                  <c:v>1793.6333330848083</c:v>
                </c:pt>
                <c:pt idx="24">
                  <c:v>1812.3797632095823</c:v>
                </c:pt>
                <c:pt idx="25">
                  <c:v>1826.1923663973578</c:v>
                </c:pt>
                <c:pt idx="26">
                  <c:v>1834.6514536897889</c:v>
                </c:pt>
                <c:pt idx="27">
                  <c:v>1837.5</c:v>
                </c:pt>
                <c:pt idx="28">
                  <c:v>1834.6514536897889</c:v>
                </c:pt>
                <c:pt idx="29">
                  <c:v>1826.1923663973578</c:v>
                </c:pt>
                <c:pt idx="30">
                  <c:v>1812.3797632095823</c:v>
                </c:pt>
                <c:pt idx="31">
                  <c:v>1793.6333330848083</c:v>
                </c:pt>
                <c:pt idx="32">
                  <c:v>1770.5226768162261</c:v>
                </c:pt>
                <c:pt idx="33">
                  <c:v>1743.75</c:v>
                </c:pt>
                <c:pt idx="34">
                  <c:v>1714.1287768735629</c:v>
                </c:pt>
                <c:pt idx="35">
                  <c:v>1682.5590333125494</c:v>
                </c:pt>
                <c:pt idx="36">
                  <c:v>1650</c:v>
                </c:pt>
              </c:numCache>
            </c:numRef>
          </c:xVal>
          <c:yVal>
            <c:numRef>
              <c:f>[1]Graf!$C$40:$AM$40</c:f>
              <c:numCache>
                <c:formatCode>General</c:formatCode>
                <c:ptCount val="37"/>
                <c:pt idx="0">
                  <c:v>1288.5</c:v>
                </c:pt>
                <c:pt idx="1">
                  <c:v>1291.3485463102111</c:v>
                </c:pt>
                <c:pt idx="2">
                  <c:v>1299.8076336026422</c:v>
                </c:pt>
                <c:pt idx="3">
                  <c:v>1313.6202367904177</c:v>
                </c:pt>
                <c:pt idx="4">
                  <c:v>1332.3666669151917</c:v>
                </c:pt>
                <c:pt idx="5">
                  <c:v>1355.4773231837739</c:v>
                </c:pt>
                <c:pt idx="6">
                  <c:v>1382.25</c:v>
                </c:pt>
                <c:pt idx="7">
                  <c:v>1411.8712231264371</c:v>
                </c:pt>
                <c:pt idx="8">
                  <c:v>1443.4409666874506</c:v>
                </c:pt>
                <c:pt idx="9">
                  <c:v>1476</c:v>
                </c:pt>
                <c:pt idx="10">
                  <c:v>1508.5590333125494</c:v>
                </c:pt>
                <c:pt idx="11">
                  <c:v>1540.1287768735629</c:v>
                </c:pt>
                <c:pt idx="12">
                  <c:v>1569.75</c:v>
                </c:pt>
                <c:pt idx="13">
                  <c:v>1596.5226768162261</c:v>
                </c:pt>
                <c:pt idx="14">
                  <c:v>1619.6333330848083</c:v>
                </c:pt>
                <c:pt idx="15">
                  <c:v>1638.3797632095823</c:v>
                </c:pt>
                <c:pt idx="16">
                  <c:v>1652.1923663973578</c:v>
                </c:pt>
                <c:pt idx="17">
                  <c:v>1660.6514536897889</c:v>
                </c:pt>
                <c:pt idx="18">
                  <c:v>1663.5</c:v>
                </c:pt>
                <c:pt idx="19">
                  <c:v>1660.6514536897889</c:v>
                </c:pt>
                <c:pt idx="20">
                  <c:v>1652.1923663973578</c:v>
                </c:pt>
                <c:pt idx="21">
                  <c:v>1638.3797632095823</c:v>
                </c:pt>
                <c:pt idx="22">
                  <c:v>1619.6333330848083</c:v>
                </c:pt>
                <c:pt idx="23">
                  <c:v>1596.5226768162261</c:v>
                </c:pt>
                <c:pt idx="24">
                  <c:v>1569.75</c:v>
                </c:pt>
                <c:pt idx="25">
                  <c:v>1540.1287768735629</c:v>
                </c:pt>
                <c:pt idx="26">
                  <c:v>1508.5590333125494</c:v>
                </c:pt>
                <c:pt idx="27">
                  <c:v>1476</c:v>
                </c:pt>
                <c:pt idx="28">
                  <c:v>1443.4409666874506</c:v>
                </c:pt>
                <c:pt idx="29">
                  <c:v>1411.8712231264371</c:v>
                </c:pt>
                <c:pt idx="30">
                  <c:v>1382.25</c:v>
                </c:pt>
                <c:pt idx="31">
                  <c:v>1355.4773231837739</c:v>
                </c:pt>
                <c:pt idx="32">
                  <c:v>1332.3666669151917</c:v>
                </c:pt>
                <c:pt idx="33">
                  <c:v>1313.6202367904177</c:v>
                </c:pt>
                <c:pt idx="34">
                  <c:v>1299.8076336026422</c:v>
                </c:pt>
                <c:pt idx="35">
                  <c:v>1291.3485463102111</c:v>
                </c:pt>
                <c:pt idx="36">
                  <c:v>1288.5</c:v>
                </c:pt>
              </c:numCache>
            </c:numRef>
          </c:yVal>
          <c:smooth val="0"/>
        </c:ser>
        <c:ser>
          <c:idx val="7"/>
          <c:order val="7"/>
          <c:tx>
            <c:v>Centre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[1]Graf!$N$29:$R$29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3">
                  <c:v>1000</c:v>
                </c:pt>
                <c:pt idx="4">
                  <c:v>1000</c:v>
                </c:pt>
              </c:numCache>
            </c:numRef>
          </c:xVal>
          <c:yVal>
            <c:numRef>
              <c:f>[1]Graf!$N$30:$R$30</c:f>
              <c:numCache>
                <c:formatCode>General</c:formatCode>
                <c:ptCount val="5"/>
                <c:pt idx="0">
                  <c:v>1100.6666666666665</c:v>
                </c:pt>
                <c:pt idx="1">
                  <c:v>1100.6666666666665</c:v>
                </c:pt>
                <c:pt idx="3">
                  <c:v>-50</c:v>
                </c:pt>
                <c:pt idx="4">
                  <c:v>1876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583856"/>
        <c:axId val="-434570256"/>
      </c:scatterChart>
      <c:valAx>
        <c:axId val="-434583856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-434570256"/>
        <c:crosses val="autoZero"/>
        <c:crossBetween val="midCat"/>
        <c:majorUnit val="100"/>
      </c:valAx>
      <c:valAx>
        <c:axId val="-434570256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-434583856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048235416533853E-2"/>
          <c:y val="3.2680764146903865E-2"/>
          <c:w val="0.97146000624322659"/>
          <c:h val="0.94774216026021207"/>
        </c:manualLayout>
      </c:layout>
      <c:scatterChart>
        <c:scatterStyle val="lineMarker"/>
        <c:varyColors val="0"/>
        <c:ser>
          <c:idx val="0"/>
          <c:order val="0"/>
          <c:tx>
            <c:v>Cap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[1]Graf!$C$42:$M$42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  <c:pt idx="6">
                  <c:v>650</c:v>
                </c:pt>
                <c:pt idx="7">
                  <c:v>650</c:v>
                </c:pt>
                <c:pt idx="9">
                  <c:v>1350</c:v>
                </c:pt>
                <c:pt idx="10">
                  <c:v>1350</c:v>
                </c:pt>
              </c:numCache>
            </c:numRef>
          </c:xVal>
          <c:yVal>
            <c:numRef>
              <c:f>[1]Graf!$C$43:$M$43</c:f>
              <c:numCache>
                <c:formatCode>General</c:formatCode>
                <c:ptCount val="11"/>
                <c:pt idx="0">
                  <c:v>240</c:v>
                </c:pt>
                <c:pt idx="1">
                  <c:v>640</c:v>
                </c:pt>
                <c:pt idx="2">
                  <c:v>640</c:v>
                </c:pt>
                <c:pt idx="3">
                  <c:v>240</c:v>
                </c:pt>
                <c:pt idx="4">
                  <c:v>240</c:v>
                </c:pt>
                <c:pt idx="6">
                  <c:v>240</c:v>
                </c:pt>
                <c:pt idx="7">
                  <c:v>640</c:v>
                </c:pt>
                <c:pt idx="9">
                  <c:v>240</c:v>
                </c:pt>
                <c:pt idx="10">
                  <c:v>640</c:v>
                </c:pt>
              </c:numCache>
            </c:numRef>
          </c:yVal>
          <c:smooth val="0"/>
        </c:ser>
        <c:ser>
          <c:idx val="3"/>
          <c:order val="1"/>
          <c:tx>
            <c:v>Btm bar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[1]Graf!$C$50:$F$50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1950</c:v>
                </c:pt>
                <c:pt idx="3">
                  <c:v>1950</c:v>
                </c:pt>
              </c:numCache>
            </c:numRef>
          </c:xVal>
          <c:yVal>
            <c:numRef>
              <c:f>[1]Graf!$C$51:$F$51</c:f>
              <c:numCache>
                <c:formatCode>General</c:formatCode>
                <c:ptCount val="4"/>
                <c:pt idx="0">
                  <c:v>555.5</c:v>
                </c:pt>
                <c:pt idx="1">
                  <c:v>325</c:v>
                </c:pt>
                <c:pt idx="2">
                  <c:v>325</c:v>
                </c:pt>
                <c:pt idx="3">
                  <c:v>555.5</c:v>
                </c:pt>
              </c:numCache>
            </c:numRef>
          </c:yVal>
          <c:smooth val="0"/>
        </c:ser>
        <c:ser>
          <c:idx val="4"/>
          <c:order val="2"/>
          <c:tx>
            <c:v>Top bar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[1]Graf!$C$48:$F$48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1950</c:v>
                </c:pt>
                <c:pt idx="3">
                  <c:v>1950</c:v>
                </c:pt>
              </c:numCache>
            </c:numRef>
          </c:xVal>
          <c:yVal>
            <c:numRef>
              <c:f>[1]Graf!$C$49:$F$49</c:f>
              <c:numCache>
                <c:formatCode>General</c:formatCode>
                <c:ptCount val="4"/>
                <c:pt idx="0">
                  <c:v>580</c:v>
                </c:pt>
                <c:pt idx="1">
                  <c:v>580</c:v>
                </c:pt>
                <c:pt idx="2">
                  <c:v>580</c:v>
                </c:pt>
                <c:pt idx="3">
                  <c:v>580</c:v>
                </c:pt>
              </c:numCache>
            </c:numRef>
          </c:yVal>
          <c:smooth val="0"/>
        </c:ser>
        <c:ser>
          <c:idx val="1"/>
          <c:order val="3"/>
          <c:tx>
            <c:v>Piles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[1]Graf!$C$44:$M$44</c:f>
              <c:numCache>
                <c:formatCode>General</c:formatCode>
                <c:ptCount val="11"/>
                <c:pt idx="0">
                  <c:v>162.5</c:v>
                </c:pt>
                <c:pt idx="1">
                  <c:v>162.5</c:v>
                </c:pt>
                <c:pt idx="3">
                  <c:v>537.5</c:v>
                </c:pt>
                <c:pt idx="4">
                  <c:v>537.5</c:v>
                </c:pt>
                <c:pt idx="6">
                  <c:v>1462.5</c:v>
                </c:pt>
                <c:pt idx="7">
                  <c:v>1462.5</c:v>
                </c:pt>
                <c:pt idx="9">
                  <c:v>1837.5</c:v>
                </c:pt>
                <c:pt idx="10">
                  <c:v>1837.5</c:v>
                </c:pt>
              </c:numCache>
            </c:numRef>
          </c:xVal>
          <c:yVal>
            <c:numRef>
              <c:f>[1]Graf!$C$45:$M$45</c:f>
              <c:numCache>
                <c:formatCode>General</c:formatCode>
                <c:ptCount val="11"/>
                <c:pt idx="0">
                  <c:v>0</c:v>
                </c:pt>
                <c:pt idx="1">
                  <c:v>240</c:v>
                </c:pt>
                <c:pt idx="3">
                  <c:v>0</c:v>
                </c:pt>
                <c:pt idx="4">
                  <c:v>240</c:v>
                </c:pt>
                <c:pt idx="6">
                  <c:v>0</c:v>
                </c:pt>
                <c:pt idx="7">
                  <c:v>240</c:v>
                </c:pt>
                <c:pt idx="9">
                  <c:v>0</c:v>
                </c:pt>
                <c:pt idx="10">
                  <c:v>240</c:v>
                </c:pt>
              </c:numCache>
            </c:numRef>
          </c:yVal>
          <c:smooth val="0"/>
        </c:ser>
        <c:ser>
          <c:idx val="2"/>
          <c:order val="4"/>
          <c:tx>
            <c:v>Column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[1]Graf!$O$44:$S$44</c:f>
              <c:numCache>
                <c:formatCode>General</c:formatCode>
                <c:ptCount val="5"/>
                <c:pt idx="0">
                  <c:v>850</c:v>
                </c:pt>
                <c:pt idx="1">
                  <c:v>850</c:v>
                </c:pt>
                <c:pt idx="3">
                  <c:v>1150</c:v>
                </c:pt>
                <c:pt idx="4">
                  <c:v>1150</c:v>
                </c:pt>
              </c:numCache>
            </c:numRef>
          </c:xVal>
          <c:yVal>
            <c:numRef>
              <c:f>[1]Graf!$O$45:$S$45</c:f>
              <c:numCache>
                <c:formatCode>General</c:formatCode>
                <c:ptCount val="5"/>
                <c:pt idx="0">
                  <c:v>640</c:v>
                </c:pt>
                <c:pt idx="1">
                  <c:v>940</c:v>
                </c:pt>
                <c:pt idx="3">
                  <c:v>640</c:v>
                </c:pt>
                <c:pt idx="4">
                  <c:v>940</c:v>
                </c:pt>
              </c:numCache>
            </c:numRef>
          </c:yVal>
          <c:smooth val="0"/>
        </c:ser>
        <c:ser>
          <c:idx val="5"/>
          <c:order val="5"/>
          <c:tx>
            <c:v>End 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[1]Graf!$C$52:$S$52</c:f>
              <c:numCache>
                <c:formatCode>General</c:formatCode>
                <c:ptCount val="17"/>
                <c:pt idx="0">
                  <c:v>68.75</c:v>
                </c:pt>
                <c:pt idx="1">
                  <c:v>68.75</c:v>
                </c:pt>
                <c:pt idx="3">
                  <c:v>68.75</c:v>
                </c:pt>
                <c:pt idx="4">
                  <c:v>68.75</c:v>
                </c:pt>
                <c:pt idx="6">
                  <c:v>218.75</c:v>
                </c:pt>
                <c:pt idx="7">
                  <c:v>218.75</c:v>
                </c:pt>
                <c:pt idx="9">
                  <c:v>1931.25</c:v>
                </c:pt>
                <c:pt idx="10">
                  <c:v>1931.25</c:v>
                </c:pt>
                <c:pt idx="12">
                  <c:v>1931.25</c:v>
                </c:pt>
                <c:pt idx="13">
                  <c:v>1931.25</c:v>
                </c:pt>
                <c:pt idx="15">
                  <c:v>1781.25</c:v>
                </c:pt>
                <c:pt idx="16">
                  <c:v>1781.25</c:v>
                </c:pt>
              </c:numCache>
            </c:numRef>
          </c:xVal>
          <c:yVal>
            <c:numRef>
              <c:f>[1]Graf!$C$53:$S$53</c:f>
              <c:numCache>
                <c:formatCode>General</c:formatCode>
                <c:ptCount val="17"/>
                <c:pt idx="0">
                  <c:v>315</c:v>
                </c:pt>
                <c:pt idx="1">
                  <c:v>590</c:v>
                </c:pt>
                <c:pt idx="3">
                  <c:v>315</c:v>
                </c:pt>
                <c:pt idx="4">
                  <c:v>590</c:v>
                </c:pt>
                <c:pt idx="6">
                  <c:v>315</c:v>
                </c:pt>
                <c:pt idx="7">
                  <c:v>590</c:v>
                </c:pt>
                <c:pt idx="9">
                  <c:v>315</c:v>
                </c:pt>
                <c:pt idx="10">
                  <c:v>590</c:v>
                </c:pt>
                <c:pt idx="12">
                  <c:v>315</c:v>
                </c:pt>
                <c:pt idx="13">
                  <c:v>590</c:v>
                </c:pt>
                <c:pt idx="15">
                  <c:v>315</c:v>
                </c:pt>
                <c:pt idx="16">
                  <c:v>590</c:v>
                </c:pt>
              </c:numCache>
            </c:numRef>
          </c:yVal>
          <c:smooth val="0"/>
        </c:ser>
        <c:ser>
          <c:idx val="6"/>
          <c:order val="6"/>
          <c:tx>
            <c:v>Centre 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[1]Graf!$C$54:$BI$54</c:f>
              <c:numCache>
                <c:formatCode>General</c:formatCode>
                <c:ptCount val="59"/>
                <c:pt idx="0">
                  <c:v>475</c:v>
                </c:pt>
                <c:pt idx="1">
                  <c:v>475</c:v>
                </c:pt>
                <c:pt idx="3">
                  <c:v>625</c:v>
                </c:pt>
                <c:pt idx="4">
                  <c:v>625</c:v>
                </c:pt>
                <c:pt idx="6">
                  <c:v>775</c:v>
                </c:pt>
                <c:pt idx="7">
                  <c:v>775</c:v>
                </c:pt>
                <c:pt idx="9">
                  <c:v>925</c:v>
                </c:pt>
                <c:pt idx="10">
                  <c:v>925</c:v>
                </c:pt>
                <c:pt idx="12">
                  <c:v>1075</c:v>
                </c:pt>
                <c:pt idx="13">
                  <c:v>1075</c:v>
                </c:pt>
                <c:pt idx="15">
                  <c:v>1225</c:v>
                </c:pt>
                <c:pt idx="16">
                  <c:v>1225</c:v>
                </c:pt>
                <c:pt idx="18">
                  <c:v>1375</c:v>
                </c:pt>
                <c:pt idx="19">
                  <c:v>1375</c:v>
                </c:pt>
                <c:pt idx="21">
                  <c:v>1525</c:v>
                </c:pt>
                <c:pt idx="22">
                  <c:v>1525</c:v>
                </c:pt>
                <c:pt idx="24">
                  <c:v>1525</c:v>
                </c:pt>
                <c:pt idx="25">
                  <c:v>1525</c:v>
                </c:pt>
                <c:pt idx="27">
                  <c:v>1525</c:v>
                </c:pt>
                <c:pt idx="28">
                  <c:v>1525</c:v>
                </c:pt>
                <c:pt idx="30">
                  <c:v>1525</c:v>
                </c:pt>
                <c:pt idx="31">
                  <c:v>1525</c:v>
                </c:pt>
                <c:pt idx="33">
                  <c:v>1525</c:v>
                </c:pt>
                <c:pt idx="34">
                  <c:v>1525</c:v>
                </c:pt>
                <c:pt idx="36">
                  <c:v>1525</c:v>
                </c:pt>
                <c:pt idx="37">
                  <c:v>1525</c:v>
                </c:pt>
                <c:pt idx="39">
                  <c:v>1525</c:v>
                </c:pt>
                <c:pt idx="40">
                  <c:v>1525</c:v>
                </c:pt>
                <c:pt idx="42">
                  <c:v>1525</c:v>
                </c:pt>
                <c:pt idx="43">
                  <c:v>1525</c:v>
                </c:pt>
                <c:pt idx="45">
                  <c:v>1525</c:v>
                </c:pt>
                <c:pt idx="46">
                  <c:v>1525</c:v>
                </c:pt>
                <c:pt idx="48">
                  <c:v>1525</c:v>
                </c:pt>
                <c:pt idx="49">
                  <c:v>1525</c:v>
                </c:pt>
                <c:pt idx="51">
                  <c:v>1525</c:v>
                </c:pt>
                <c:pt idx="52">
                  <c:v>1525</c:v>
                </c:pt>
                <c:pt idx="54">
                  <c:v>1525</c:v>
                </c:pt>
                <c:pt idx="55">
                  <c:v>1525</c:v>
                </c:pt>
                <c:pt idx="57">
                  <c:v>1525</c:v>
                </c:pt>
                <c:pt idx="58">
                  <c:v>1525</c:v>
                </c:pt>
              </c:numCache>
            </c:numRef>
          </c:xVal>
          <c:yVal>
            <c:numRef>
              <c:f>[1]Graf!$C$55:$BI$55</c:f>
              <c:numCache>
                <c:formatCode>General</c:formatCode>
                <c:ptCount val="59"/>
                <c:pt idx="0">
                  <c:v>315</c:v>
                </c:pt>
                <c:pt idx="1">
                  <c:v>590</c:v>
                </c:pt>
                <c:pt idx="3">
                  <c:v>315</c:v>
                </c:pt>
                <c:pt idx="4">
                  <c:v>590</c:v>
                </c:pt>
                <c:pt idx="6">
                  <c:v>315</c:v>
                </c:pt>
                <c:pt idx="7">
                  <c:v>590</c:v>
                </c:pt>
                <c:pt idx="9">
                  <c:v>315</c:v>
                </c:pt>
                <c:pt idx="10">
                  <c:v>590</c:v>
                </c:pt>
                <c:pt idx="12">
                  <c:v>315</c:v>
                </c:pt>
                <c:pt idx="13">
                  <c:v>590</c:v>
                </c:pt>
                <c:pt idx="15">
                  <c:v>315</c:v>
                </c:pt>
                <c:pt idx="16">
                  <c:v>590</c:v>
                </c:pt>
                <c:pt idx="18">
                  <c:v>315</c:v>
                </c:pt>
                <c:pt idx="19">
                  <c:v>590</c:v>
                </c:pt>
                <c:pt idx="21">
                  <c:v>315</c:v>
                </c:pt>
                <c:pt idx="22">
                  <c:v>590</c:v>
                </c:pt>
                <c:pt idx="24">
                  <c:v>315</c:v>
                </c:pt>
                <c:pt idx="25">
                  <c:v>590</c:v>
                </c:pt>
                <c:pt idx="27">
                  <c:v>315</c:v>
                </c:pt>
                <c:pt idx="28">
                  <c:v>590</c:v>
                </c:pt>
                <c:pt idx="30">
                  <c:v>315</c:v>
                </c:pt>
                <c:pt idx="31">
                  <c:v>590</c:v>
                </c:pt>
                <c:pt idx="33">
                  <c:v>315</c:v>
                </c:pt>
                <c:pt idx="34">
                  <c:v>590</c:v>
                </c:pt>
                <c:pt idx="36">
                  <c:v>315</c:v>
                </c:pt>
                <c:pt idx="37">
                  <c:v>590</c:v>
                </c:pt>
                <c:pt idx="39">
                  <c:v>315</c:v>
                </c:pt>
                <c:pt idx="40">
                  <c:v>590</c:v>
                </c:pt>
                <c:pt idx="42">
                  <c:v>315</c:v>
                </c:pt>
                <c:pt idx="43">
                  <c:v>590</c:v>
                </c:pt>
                <c:pt idx="45">
                  <c:v>315</c:v>
                </c:pt>
                <c:pt idx="46">
                  <c:v>590</c:v>
                </c:pt>
                <c:pt idx="48">
                  <c:v>315</c:v>
                </c:pt>
                <c:pt idx="49">
                  <c:v>590</c:v>
                </c:pt>
                <c:pt idx="51">
                  <c:v>315</c:v>
                </c:pt>
                <c:pt idx="52">
                  <c:v>590</c:v>
                </c:pt>
                <c:pt idx="54">
                  <c:v>315</c:v>
                </c:pt>
                <c:pt idx="55">
                  <c:v>590</c:v>
                </c:pt>
                <c:pt idx="57">
                  <c:v>315</c:v>
                </c:pt>
                <c:pt idx="58">
                  <c:v>590</c:v>
                </c:pt>
              </c:numCache>
            </c:numRef>
          </c:yVal>
          <c:smooth val="0"/>
        </c:ser>
        <c:ser>
          <c:idx val="7"/>
          <c:order val="7"/>
          <c:tx>
            <c:v>Cutoffs</c:v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[1]Graf!$C$46:$Q$46</c:f>
              <c:numCache>
                <c:formatCode>General</c:formatCode>
                <c:ptCount val="15"/>
                <c:pt idx="0">
                  <c:v>162.5</c:v>
                </c:pt>
                <c:pt idx="1">
                  <c:v>162.5</c:v>
                </c:pt>
                <c:pt idx="2">
                  <c:v>537.5</c:v>
                </c:pt>
                <c:pt idx="3">
                  <c:v>537.5</c:v>
                </c:pt>
                <c:pt idx="5">
                  <c:v>1462.5</c:v>
                </c:pt>
                <c:pt idx="6">
                  <c:v>1462.5</c:v>
                </c:pt>
                <c:pt idx="7">
                  <c:v>1837.5</c:v>
                </c:pt>
                <c:pt idx="8">
                  <c:v>1837.5</c:v>
                </c:pt>
                <c:pt idx="10">
                  <c:v>812.5</c:v>
                </c:pt>
                <c:pt idx="11">
                  <c:v>812.5</c:v>
                </c:pt>
                <c:pt idx="13">
                  <c:v>1187.5</c:v>
                </c:pt>
                <c:pt idx="14">
                  <c:v>1187.5</c:v>
                </c:pt>
              </c:numCache>
            </c:numRef>
          </c:xVal>
          <c:yVal>
            <c:numRef>
              <c:f>[1]Graf!$C$47:$Q$47</c:f>
              <c:numCache>
                <c:formatCode>General</c:formatCode>
                <c:ptCount val="15"/>
                <c:pt idx="0">
                  <c:v>240</c:v>
                </c:pt>
                <c:pt idx="1">
                  <c:v>290</c:v>
                </c:pt>
                <c:pt idx="2">
                  <c:v>290</c:v>
                </c:pt>
                <c:pt idx="3">
                  <c:v>240</c:v>
                </c:pt>
                <c:pt idx="5">
                  <c:v>240</c:v>
                </c:pt>
                <c:pt idx="6">
                  <c:v>290</c:v>
                </c:pt>
                <c:pt idx="7">
                  <c:v>290</c:v>
                </c:pt>
                <c:pt idx="8">
                  <c:v>240</c:v>
                </c:pt>
                <c:pt idx="10">
                  <c:v>0</c:v>
                </c:pt>
                <c:pt idx="11">
                  <c:v>240</c:v>
                </c:pt>
                <c:pt idx="13">
                  <c:v>0</c:v>
                </c:pt>
                <c:pt idx="14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583312"/>
        <c:axId val="-434569712"/>
      </c:scatterChart>
      <c:valAx>
        <c:axId val="-434583312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-434569712"/>
        <c:crosses val="autoZero"/>
        <c:crossBetween val="midCat"/>
        <c:majorUnit val="20"/>
      </c:valAx>
      <c:valAx>
        <c:axId val="-434569712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-43458331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048235416533853E-2"/>
          <c:y val="3.2895877240124778E-2"/>
          <c:w val="0.97146000624322659"/>
          <c:h val="0.94740126451559359"/>
        </c:manualLayout>
      </c:layout>
      <c:scatterChart>
        <c:scatterStyle val="lineMarker"/>
        <c:varyColors val="0"/>
        <c:ser>
          <c:idx val="0"/>
          <c:order val="0"/>
          <c:tx>
            <c:v>Cap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[1]Graf!$C$57:$J$57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1826</c:v>
                </c:pt>
                <c:pt idx="3">
                  <c:v>1826</c:v>
                </c:pt>
                <c:pt idx="4">
                  <c:v>0</c:v>
                </c:pt>
                <c:pt idx="6">
                  <c:v>1126</c:v>
                </c:pt>
                <c:pt idx="7">
                  <c:v>1126</c:v>
                </c:pt>
              </c:numCache>
            </c:numRef>
          </c:xVal>
          <c:yVal>
            <c:numRef>
              <c:f>[1]Graf!$C$58:$J$58</c:f>
              <c:numCache>
                <c:formatCode>General</c:formatCode>
                <c:ptCount val="8"/>
                <c:pt idx="0">
                  <c:v>240</c:v>
                </c:pt>
                <c:pt idx="1">
                  <c:v>640</c:v>
                </c:pt>
                <c:pt idx="2">
                  <c:v>640</c:v>
                </c:pt>
                <c:pt idx="3">
                  <c:v>240</c:v>
                </c:pt>
                <c:pt idx="4">
                  <c:v>240</c:v>
                </c:pt>
                <c:pt idx="6">
                  <c:v>240</c:v>
                </c:pt>
                <c:pt idx="7">
                  <c:v>640</c:v>
                </c:pt>
              </c:numCache>
            </c:numRef>
          </c:yVal>
          <c:smooth val="0"/>
        </c:ser>
        <c:ser>
          <c:idx val="3"/>
          <c:order val="1"/>
          <c:tx>
            <c:v>Btm bar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[1]Graf!$C$65:$F$65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1776</c:v>
                </c:pt>
                <c:pt idx="3">
                  <c:v>1776</c:v>
                </c:pt>
              </c:numCache>
            </c:numRef>
          </c:xVal>
          <c:yVal>
            <c:numRef>
              <c:f>[1]Graf!$C$66:$F$66</c:f>
              <c:numCache>
                <c:formatCode>General</c:formatCode>
                <c:ptCount val="4"/>
                <c:pt idx="0">
                  <c:v>527</c:v>
                </c:pt>
                <c:pt idx="1">
                  <c:v>337</c:v>
                </c:pt>
                <c:pt idx="2">
                  <c:v>337</c:v>
                </c:pt>
                <c:pt idx="3">
                  <c:v>527</c:v>
                </c:pt>
              </c:numCache>
            </c:numRef>
          </c:yVal>
          <c:smooth val="0"/>
        </c:ser>
        <c:ser>
          <c:idx val="4"/>
          <c:order val="2"/>
          <c:tx>
            <c:v>Top bar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[1]Graf!$C$63:$F$63</c:f>
              <c:numCache>
                <c:formatCode>General</c:formatCode>
                <c:ptCount val="4"/>
                <c:pt idx="0">
                  <c:v>50</c:v>
                </c:pt>
                <c:pt idx="1">
                  <c:v>766</c:v>
                </c:pt>
                <c:pt idx="2">
                  <c:v>1126</c:v>
                </c:pt>
                <c:pt idx="3">
                  <c:v>1776</c:v>
                </c:pt>
              </c:numCache>
            </c:numRef>
          </c:xVal>
          <c:yVal>
            <c:numRef>
              <c:f>[1]Graf!$C$64:$F$64</c:f>
              <c:numCache>
                <c:formatCode>General</c:formatCode>
                <c:ptCount val="4"/>
                <c:pt idx="0">
                  <c:v>568</c:v>
                </c:pt>
                <c:pt idx="1">
                  <c:v>568</c:v>
                </c:pt>
                <c:pt idx="2">
                  <c:v>568</c:v>
                </c:pt>
                <c:pt idx="3">
                  <c:v>568</c:v>
                </c:pt>
              </c:numCache>
            </c:numRef>
          </c:yVal>
          <c:smooth val="0"/>
        </c:ser>
        <c:ser>
          <c:idx val="1"/>
          <c:order val="3"/>
          <c:tx>
            <c:v>Piles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[1]Graf!$C$59:$M$59</c:f>
              <c:numCache>
                <c:formatCode>General</c:formatCode>
                <c:ptCount val="11"/>
                <c:pt idx="0">
                  <c:v>162.5</c:v>
                </c:pt>
                <c:pt idx="1">
                  <c:v>162.5</c:v>
                </c:pt>
                <c:pt idx="3">
                  <c:v>537.5</c:v>
                </c:pt>
                <c:pt idx="4">
                  <c:v>537.5</c:v>
                </c:pt>
                <c:pt idx="6">
                  <c:v>1288.5</c:v>
                </c:pt>
                <c:pt idx="7">
                  <c:v>1288.5</c:v>
                </c:pt>
                <c:pt idx="9">
                  <c:v>1663.5</c:v>
                </c:pt>
                <c:pt idx="10">
                  <c:v>1663.5</c:v>
                </c:pt>
              </c:numCache>
            </c:numRef>
          </c:xVal>
          <c:yVal>
            <c:numRef>
              <c:f>[1]Graf!$C$60:$M$60</c:f>
              <c:numCache>
                <c:formatCode>General</c:formatCode>
                <c:ptCount val="11"/>
                <c:pt idx="0">
                  <c:v>0</c:v>
                </c:pt>
                <c:pt idx="1">
                  <c:v>240</c:v>
                </c:pt>
                <c:pt idx="3">
                  <c:v>0</c:v>
                </c:pt>
                <c:pt idx="4">
                  <c:v>240</c:v>
                </c:pt>
                <c:pt idx="6">
                  <c:v>0</c:v>
                </c:pt>
                <c:pt idx="7">
                  <c:v>240</c:v>
                </c:pt>
                <c:pt idx="9">
                  <c:v>0</c:v>
                </c:pt>
                <c:pt idx="10">
                  <c:v>240</c:v>
                </c:pt>
              </c:numCache>
            </c:numRef>
          </c:yVal>
          <c:smooth val="0"/>
        </c:ser>
        <c:ser>
          <c:idx val="2"/>
          <c:order val="4"/>
          <c:tx>
            <c:v>Column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[1]Graf!$O$59:$S$59</c:f>
              <c:numCache>
                <c:formatCode>General</c:formatCode>
                <c:ptCount val="5"/>
                <c:pt idx="0">
                  <c:v>950.66666666666674</c:v>
                </c:pt>
                <c:pt idx="1">
                  <c:v>950.66666666666674</c:v>
                </c:pt>
                <c:pt idx="3">
                  <c:v>1250.6666666666667</c:v>
                </c:pt>
                <c:pt idx="4">
                  <c:v>1250.6666666666667</c:v>
                </c:pt>
              </c:numCache>
            </c:numRef>
          </c:xVal>
          <c:yVal>
            <c:numRef>
              <c:f>[1]Graf!$O$45:$S$45</c:f>
              <c:numCache>
                <c:formatCode>General</c:formatCode>
                <c:ptCount val="5"/>
                <c:pt idx="0">
                  <c:v>640</c:v>
                </c:pt>
                <c:pt idx="1">
                  <c:v>940</c:v>
                </c:pt>
                <c:pt idx="3">
                  <c:v>640</c:v>
                </c:pt>
                <c:pt idx="4">
                  <c:v>940</c:v>
                </c:pt>
              </c:numCache>
            </c:numRef>
          </c:yVal>
          <c:smooth val="0"/>
        </c:ser>
        <c:ser>
          <c:idx val="5"/>
          <c:order val="5"/>
          <c:tx>
            <c:v>End 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[1]Graf!$C$67:$J$67</c:f>
              <c:numCache>
                <c:formatCode>General</c:formatCode>
                <c:ptCount val="8"/>
                <c:pt idx="0">
                  <c:v>56.25</c:v>
                </c:pt>
                <c:pt idx="1">
                  <c:v>56.25</c:v>
                </c:pt>
                <c:pt idx="3">
                  <c:v>56.25</c:v>
                </c:pt>
                <c:pt idx="4">
                  <c:v>56.25</c:v>
                </c:pt>
                <c:pt idx="6">
                  <c:v>231.25</c:v>
                </c:pt>
                <c:pt idx="7">
                  <c:v>231.25</c:v>
                </c:pt>
              </c:numCache>
            </c:numRef>
          </c:xVal>
          <c:yVal>
            <c:numRef>
              <c:f>[1]Graf!$C$68:$J$68</c:f>
              <c:numCache>
                <c:formatCode>General</c:formatCode>
                <c:ptCount val="8"/>
                <c:pt idx="0">
                  <c:v>327</c:v>
                </c:pt>
                <c:pt idx="1">
                  <c:v>580</c:v>
                </c:pt>
                <c:pt idx="3">
                  <c:v>327</c:v>
                </c:pt>
                <c:pt idx="4">
                  <c:v>580</c:v>
                </c:pt>
                <c:pt idx="6">
                  <c:v>327</c:v>
                </c:pt>
                <c:pt idx="7">
                  <c:v>580</c:v>
                </c:pt>
              </c:numCache>
            </c:numRef>
          </c:yVal>
          <c:smooth val="0"/>
        </c:ser>
        <c:ser>
          <c:idx val="6"/>
          <c:order val="6"/>
          <c:tx>
            <c:v>Centre 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[1]Graf!$C$69:$BI$69</c:f>
              <c:numCache>
                <c:formatCode>General</c:formatCode>
                <c:ptCount val="59"/>
                <c:pt idx="0">
                  <c:v>413</c:v>
                </c:pt>
                <c:pt idx="1">
                  <c:v>413</c:v>
                </c:pt>
                <c:pt idx="3">
                  <c:v>588</c:v>
                </c:pt>
                <c:pt idx="4">
                  <c:v>588</c:v>
                </c:pt>
                <c:pt idx="6">
                  <c:v>763</c:v>
                </c:pt>
                <c:pt idx="7">
                  <c:v>763</c:v>
                </c:pt>
                <c:pt idx="9">
                  <c:v>938</c:v>
                </c:pt>
                <c:pt idx="10">
                  <c:v>938</c:v>
                </c:pt>
                <c:pt idx="12">
                  <c:v>1113</c:v>
                </c:pt>
                <c:pt idx="13">
                  <c:v>1113</c:v>
                </c:pt>
                <c:pt idx="15">
                  <c:v>1113</c:v>
                </c:pt>
                <c:pt idx="16">
                  <c:v>1113</c:v>
                </c:pt>
                <c:pt idx="18">
                  <c:v>1113</c:v>
                </c:pt>
                <c:pt idx="19">
                  <c:v>1113</c:v>
                </c:pt>
                <c:pt idx="21">
                  <c:v>1113</c:v>
                </c:pt>
                <c:pt idx="22">
                  <c:v>1113</c:v>
                </c:pt>
                <c:pt idx="24">
                  <c:v>1113</c:v>
                </c:pt>
                <c:pt idx="25">
                  <c:v>1113</c:v>
                </c:pt>
                <c:pt idx="27">
                  <c:v>1113</c:v>
                </c:pt>
                <c:pt idx="28">
                  <c:v>1113</c:v>
                </c:pt>
                <c:pt idx="30">
                  <c:v>1113</c:v>
                </c:pt>
                <c:pt idx="31">
                  <c:v>1113</c:v>
                </c:pt>
                <c:pt idx="33">
                  <c:v>1113</c:v>
                </c:pt>
                <c:pt idx="34">
                  <c:v>1113</c:v>
                </c:pt>
                <c:pt idx="36">
                  <c:v>1113</c:v>
                </c:pt>
                <c:pt idx="37">
                  <c:v>1113</c:v>
                </c:pt>
                <c:pt idx="39">
                  <c:v>1113</c:v>
                </c:pt>
                <c:pt idx="40">
                  <c:v>1113</c:v>
                </c:pt>
                <c:pt idx="42">
                  <c:v>1113</c:v>
                </c:pt>
                <c:pt idx="43">
                  <c:v>1113</c:v>
                </c:pt>
                <c:pt idx="45">
                  <c:v>1113</c:v>
                </c:pt>
                <c:pt idx="46">
                  <c:v>1113</c:v>
                </c:pt>
                <c:pt idx="48">
                  <c:v>1113</c:v>
                </c:pt>
                <c:pt idx="49">
                  <c:v>1113</c:v>
                </c:pt>
                <c:pt idx="51">
                  <c:v>1113</c:v>
                </c:pt>
                <c:pt idx="52">
                  <c:v>1113</c:v>
                </c:pt>
                <c:pt idx="54">
                  <c:v>1113</c:v>
                </c:pt>
                <c:pt idx="55">
                  <c:v>1113</c:v>
                </c:pt>
                <c:pt idx="57">
                  <c:v>1113</c:v>
                </c:pt>
                <c:pt idx="58">
                  <c:v>1113</c:v>
                </c:pt>
              </c:numCache>
            </c:numRef>
          </c:xVal>
          <c:yVal>
            <c:numRef>
              <c:f>[1]Graf!$C$70:$BI$70</c:f>
              <c:numCache>
                <c:formatCode>General</c:formatCode>
                <c:ptCount val="59"/>
                <c:pt idx="0">
                  <c:v>327</c:v>
                </c:pt>
                <c:pt idx="1">
                  <c:v>580</c:v>
                </c:pt>
                <c:pt idx="3">
                  <c:v>327</c:v>
                </c:pt>
                <c:pt idx="4">
                  <c:v>580</c:v>
                </c:pt>
                <c:pt idx="6">
                  <c:v>327</c:v>
                </c:pt>
                <c:pt idx="7">
                  <c:v>580</c:v>
                </c:pt>
                <c:pt idx="9">
                  <c:v>327</c:v>
                </c:pt>
                <c:pt idx="10">
                  <c:v>580</c:v>
                </c:pt>
                <c:pt idx="12">
                  <c:v>327</c:v>
                </c:pt>
                <c:pt idx="13">
                  <c:v>580</c:v>
                </c:pt>
                <c:pt idx="15">
                  <c:v>327</c:v>
                </c:pt>
                <c:pt idx="16">
                  <c:v>580</c:v>
                </c:pt>
                <c:pt idx="18">
                  <c:v>327</c:v>
                </c:pt>
                <c:pt idx="19">
                  <c:v>580</c:v>
                </c:pt>
                <c:pt idx="21">
                  <c:v>327</c:v>
                </c:pt>
                <c:pt idx="22">
                  <c:v>580</c:v>
                </c:pt>
                <c:pt idx="24">
                  <c:v>327</c:v>
                </c:pt>
                <c:pt idx="25">
                  <c:v>580</c:v>
                </c:pt>
                <c:pt idx="27">
                  <c:v>327</c:v>
                </c:pt>
                <c:pt idx="28">
                  <c:v>580</c:v>
                </c:pt>
                <c:pt idx="30">
                  <c:v>327</c:v>
                </c:pt>
                <c:pt idx="31">
                  <c:v>580</c:v>
                </c:pt>
                <c:pt idx="33">
                  <c:v>327</c:v>
                </c:pt>
                <c:pt idx="34">
                  <c:v>580</c:v>
                </c:pt>
                <c:pt idx="36">
                  <c:v>327</c:v>
                </c:pt>
                <c:pt idx="37">
                  <c:v>580</c:v>
                </c:pt>
                <c:pt idx="39">
                  <c:v>327</c:v>
                </c:pt>
                <c:pt idx="40">
                  <c:v>580</c:v>
                </c:pt>
                <c:pt idx="42">
                  <c:v>327</c:v>
                </c:pt>
                <c:pt idx="43">
                  <c:v>580</c:v>
                </c:pt>
                <c:pt idx="45">
                  <c:v>327</c:v>
                </c:pt>
                <c:pt idx="46">
                  <c:v>580</c:v>
                </c:pt>
                <c:pt idx="48">
                  <c:v>327</c:v>
                </c:pt>
                <c:pt idx="49">
                  <c:v>580</c:v>
                </c:pt>
                <c:pt idx="51">
                  <c:v>327</c:v>
                </c:pt>
                <c:pt idx="52">
                  <c:v>580</c:v>
                </c:pt>
                <c:pt idx="54">
                  <c:v>327</c:v>
                </c:pt>
                <c:pt idx="55">
                  <c:v>580</c:v>
                </c:pt>
                <c:pt idx="57">
                  <c:v>327</c:v>
                </c:pt>
                <c:pt idx="58">
                  <c:v>580</c:v>
                </c:pt>
              </c:numCache>
            </c:numRef>
          </c:yVal>
          <c:smooth val="0"/>
        </c:ser>
        <c:ser>
          <c:idx val="7"/>
          <c:order val="7"/>
          <c:tx>
            <c:v>Cutoffs</c:v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[1]Graf!$C$61:$K$61</c:f>
              <c:numCache>
                <c:formatCode>General</c:formatCode>
                <c:ptCount val="9"/>
                <c:pt idx="0">
                  <c:v>162.5</c:v>
                </c:pt>
                <c:pt idx="1">
                  <c:v>162.5</c:v>
                </c:pt>
                <c:pt idx="2">
                  <c:v>537.5</c:v>
                </c:pt>
                <c:pt idx="3">
                  <c:v>537.5</c:v>
                </c:pt>
                <c:pt idx="5">
                  <c:v>1288.5</c:v>
                </c:pt>
                <c:pt idx="6">
                  <c:v>1288.5</c:v>
                </c:pt>
                <c:pt idx="7">
                  <c:v>1663.5</c:v>
                </c:pt>
                <c:pt idx="8">
                  <c:v>1663.5</c:v>
                </c:pt>
              </c:numCache>
            </c:numRef>
          </c:xVal>
          <c:yVal>
            <c:numRef>
              <c:f>[1]Graf!$C$62:$K$62</c:f>
              <c:numCache>
                <c:formatCode>General</c:formatCode>
                <c:ptCount val="9"/>
                <c:pt idx="0">
                  <c:v>240</c:v>
                </c:pt>
                <c:pt idx="1">
                  <c:v>290</c:v>
                </c:pt>
                <c:pt idx="2">
                  <c:v>290</c:v>
                </c:pt>
                <c:pt idx="3">
                  <c:v>240</c:v>
                </c:pt>
                <c:pt idx="5">
                  <c:v>240</c:v>
                </c:pt>
                <c:pt idx="6">
                  <c:v>290</c:v>
                </c:pt>
                <c:pt idx="7">
                  <c:v>290</c:v>
                </c:pt>
                <c:pt idx="8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577872"/>
        <c:axId val="-434577328"/>
      </c:scatterChart>
      <c:valAx>
        <c:axId val="-434577872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-434577328"/>
        <c:crosses val="autoZero"/>
        <c:crossBetween val="midCat"/>
        <c:majorUnit val="20"/>
      </c:valAx>
      <c:valAx>
        <c:axId val="-434577328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-43457787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11</xdr:row>
      <xdr:rowOff>76200</xdr:rowOff>
    </xdr:from>
    <xdr:to>
      <xdr:col>8</xdr:col>
      <xdr:colOff>447675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24</xdr:row>
          <xdr:rowOff>57150</xdr:rowOff>
        </xdr:from>
        <xdr:to>
          <xdr:col>11</xdr:col>
          <xdr:colOff>1543050</xdr:colOff>
          <xdr:row>27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FFCC99" mc:Ignorable="a14" a14:legacySpreadsheetColorIndex="4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12</xdr:row>
          <xdr:rowOff>0</xdr:rowOff>
        </xdr:from>
        <xdr:to>
          <xdr:col>11</xdr:col>
          <xdr:colOff>352425</xdr:colOff>
          <xdr:row>19</xdr:row>
          <xdr:rowOff>142875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390525</xdr:colOff>
      <xdr:row>28</xdr:row>
      <xdr:rowOff>114300</xdr:rowOff>
    </xdr:from>
    <xdr:to>
      <xdr:col>11</xdr:col>
      <xdr:colOff>342900</xdr:colOff>
      <xdr:row>36</xdr:row>
      <xdr:rowOff>47625</xdr:rowOff>
    </xdr:to>
    <xdr:graphicFrame macro="">
      <xdr:nvGraphicFramePr>
        <xdr:cNvPr id="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390525</xdr:colOff>
      <xdr:row>36</xdr:row>
      <xdr:rowOff>114300</xdr:rowOff>
    </xdr:from>
    <xdr:to>
      <xdr:col>11</xdr:col>
      <xdr:colOff>342900</xdr:colOff>
      <xdr:row>44</xdr:row>
      <xdr:rowOff>38100</xdr:rowOff>
    </xdr:to>
    <xdr:graphicFrame macro="">
      <xdr:nvGraphicFramePr>
        <xdr:cNvPr id="7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18</xdr:row>
          <xdr:rowOff>57150</xdr:rowOff>
        </xdr:from>
        <xdr:to>
          <xdr:col>11</xdr:col>
          <xdr:colOff>1581150</xdr:colOff>
          <xdr:row>20</xdr:row>
          <xdr:rowOff>47625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ekton"/>
                </a:rPr>
                <a:t>Print</a:t>
              </a:r>
              <a:endParaRPr lang="en-US" sz="1200" b="0" i="0" u="none" strike="noStrike" baseline="0">
                <a:solidFill>
                  <a:srgbClr val="008000"/>
                </a:solidFill>
                <a:latin typeface="Tekton"/>
              </a:endParaRPr>
            </a:p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8000"/>
                  </a:solidFill>
                  <a:latin typeface="Tekton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1581150</xdr:colOff>
          <xdr:row>18</xdr:row>
          <xdr:rowOff>57150</xdr:rowOff>
        </xdr:from>
        <xdr:to>
          <xdr:col>11</xdr:col>
          <xdr:colOff>2419350</xdr:colOff>
          <xdr:row>20</xdr:row>
          <xdr:rowOff>38100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ekton"/>
                </a:rPr>
                <a:t>Print</a:t>
              </a:r>
              <a:endParaRPr lang="en-US" sz="1200" b="0" i="0" u="none" strike="noStrike" baseline="0">
                <a:solidFill>
                  <a:srgbClr val="008000"/>
                </a:solidFill>
                <a:latin typeface="Tekton"/>
              </a:endParaRPr>
            </a:p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8000"/>
                  </a:solidFill>
                  <a:latin typeface="Tekton"/>
                </a:rPr>
                <a:t>DETAILS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New%20folder%20(3)/Design%20of%20Pilecap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UBLE"/>
      <sheetName val="3CAP"/>
      <sheetName val="4CAP"/>
      <sheetName val="5CAP"/>
      <sheetName val="6CAP"/>
      <sheetName val="SCHEDULE"/>
      <sheetName val="DRAWING"/>
      <sheetName val="Graf"/>
      <sheetName val="NOTES"/>
      <sheetName val="Design of Pilecap(1)"/>
    </sheetNames>
    <definedNames>
      <definedName name="Details3"/>
      <definedName name="Summary3"/>
    </definedNames>
    <sheetDataSet>
      <sheetData sheetId="0">
        <row r="1">
          <cell r="M1" t="str">
            <v xml:space="preserve"> T</v>
          </cell>
          <cell r="O1">
            <v>9.9999999999999995E-7</v>
          </cell>
          <cell r="P1">
            <v>8</v>
          </cell>
        </row>
        <row r="2">
          <cell r="O2">
            <v>78.539816339744831</v>
          </cell>
          <cell r="P2">
            <v>10</v>
          </cell>
        </row>
        <row r="3">
          <cell r="O3">
            <v>113.09733552923255</v>
          </cell>
          <cell r="P3">
            <v>12</v>
          </cell>
        </row>
        <row r="4">
          <cell r="O4">
            <v>201.06192982974676</v>
          </cell>
          <cell r="P4">
            <v>16</v>
          </cell>
        </row>
        <row r="5">
          <cell r="N5">
            <v>4.7328638264796927</v>
          </cell>
          <cell r="O5">
            <v>314.15926535897933</v>
          </cell>
          <cell r="P5">
            <v>20</v>
          </cell>
        </row>
        <row r="6">
          <cell r="O6">
            <v>490.87385212340519</v>
          </cell>
          <cell r="P6">
            <v>25</v>
          </cell>
        </row>
        <row r="7">
          <cell r="O7">
            <v>804.24771931898704</v>
          </cell>
          <cell r="P7">
            <v>32</v>
          </cell>
        </row>
        <row r="8">
          <cell r="D8">
            <v>35</v>
          </cell>
          <cell r="O8">
            <v>1256.6370614359173</v>
          </cell>
          <cell r="P8">
            <v>40</v>
          </cell>
        </row>
        <row r="9">
          <cell r="D9">
            <v>460</v>
          </cell>
          <cell r="G9">
            <v>50</v>
          </cell>
          <cell r="J9">
            <v>1.05</v>
          </cell>
        </row>
        <row r="10">
          <cell r="D10">
            <v>200</v>
          </cell>
          <cell r="G10">
            <v>75</v>
          </cell>
          <cell r="J10">
            <v>23.6</v>
          </cell>
        </row>
        <row r="17">
          <cell r="C17">
            <v>375</v>
          </cell>
        </row>
        <row r="58">
          <cell r="J58">
            <v>0.15577500000000002</v>
          </cell>
        </row>
        <row r="59">
          <cell r="J59">
            <v>1.2999999999999999E-3</v>
          </cell>
        </row>
      </sheetData>
      <sheetData sheetId="1"/>
      <sheetData sheetId="2"/>
      <sheetData sheetId="3"/>
      <sheetData sheetId="4"/>
      <sheetData sheetId="5">
        <row r="21">
          <cell r="W21">
            <v>78.127639383593859</v>
          </cell>
        </row>
      </sheetData>
      <sheetData sheetId="6"/>
      <sheetData sheetId="7">
        <row r="29">
          <cell r="C29">
            <v>0</v>
          </cell>
          <cell r="D29">
            <v>0</v>
          </cell>
          <cell r="E29">
            <v>2000</v>
          </cell>
          <cell r="F29">
            <v>2000</v>
          </cell>
          <cell r="G29">
            <v>1350</v>
          </cell>
          <cell r="H29">
            <v>650</v>
          </cell>
          <cell r="I29">
            <v>0</v>
          </cell>
          <cell r="J29">
            <v>0</v>
          </cell>
          <cell r="K29">
            <v>1826</v>
          </cell>
          <cell r="N29">
            <v>0</v>
          </cell>
          <cell r="O29">
            <v>2000</v>
          </cell>
          <cell r="Q29">
            <v>1000</v>
          </cell>
          <cell r="R29">
            <v>1000</v>
          </cell>
        </row>
        <row r="30">
          <cell r="C30">
            <v>1126</v>
          </cell>
          <cell r="D30">
            <v>1826</v>
          </cell>
          <cell r="E30">
            <v>1826</v>
          </cell>
          <cell r="F30">
            <v>1126</v>
          </cell>
          <cell r="G30">
            <v>0</v>
          </cell>
          <cell r="H30">
            <v>0</v>
          </cell>
          <cell r="I30">
            <v>1126</v>
          </cell>
          <cell r="J30">
            <v>0</v>
          </cell>
          <cell r="K30">
            <v>2000</v>
          </cell>
          <cell r="N30">
            <v>1100.6666666666665</v>
          </cell>
          <cell r="O30">
            <v>1100.6666666666665</v>
          </cell>
          <cell r="Q30">
            <v>-50</v>
          </cell>
          <cell r="R30">
            <v>1876</v>
          </cell>
        </row>
        <row r="31">
          <cell r="C31">
            <v>850</v>
          </cell>
          <cell r="D31">
            <v>850</v>
          </cell>
          <cell r="E31">
            <v>1150</v>
          </cell>
          <cell r="F31">
            <v>1150</v>
          </cell>
          <cell r="G31">
            <v>850</v>
          </cell>
          <cell r="I31">
            <v>880</v>
          </cell>
          <cell r="J31">
            <v>880</v>
          </cell>
          <cell r="L31">
            <v>910</v>
          </cell>
          <cell r="M31">
            <v>910</v>
          </cell>
          <cell r="O31">
            <v>940</v>
          </cell>
          <cell r="P31">
            <v>940</v>
          </cell>
          <cell r="R31">
            <v>970</v>
          </cell>
          <cell r="S31">
            <v>970</v>
          </cell>
          <cell r="U31">
            <v>1000</v>
          </cell>
          <cell r="V31">
            <v>1000</v>
          </cell>
          <cell r="X31">
            <v>1030</v>
          </cell>
          <cell r="Y31">
            <v>1030</v>
          </cell>
          <cell r="AA31">
            <v>1060</v>
          </cell>
          <cell r="AB31">
            <v>1060</v>
          </cell>
          <cell r="AD31">
            <v>1090</v>
          </cell>
          <cell r="AE31">
            <v>1090</v>
          </cell>
          <cell r="AG31">
            <v>1120</v>
          </cell>
          <cell r="AH31">
            <v>1120</v>
          </cell>
        </row>
        <row r="32">
          <cell r="C32">
            <v>950.66666666666674</v>
          </cell>
          <cell r="D32">
            <v>1250.6666666666667</v>
          </cell>
          <cell r="E32">
            <v>1250.6666666666667</v>
          </cell>
          <cell r="F32">
            <v>950.66666666666674</v>
          </cell>
          <cell r="G32">
            <v>950.66666666666674</v>
          </cell>
          <cell r="I32">
            <v>950.66666666666674</v>
          </cell>
          <cell r="J32">
            <v>1250.6666666666667</v>
          </cell>
          <cell r="L32">
            <v>950.66666666666674</v>
          </cell>
          <cell r="M32">
            <v>1250.6666666666667</v>
          </cell>
          <cell r="O32">
            <v>950.66666666666674</v>
          </cell>
          <cell r="P32">
            <v>1250.6666666666667</v>
          </cell>
          <cell r="R32">
            <v>950.66666666666674</v>
          </cell>
          <cell r="S32">
            <v>1250.6666666666667</v>
          </cell>
          <cell r="U32">
            <v>950.66666666666674</v>
          </cell>
          <cell r="V32">
            <v>1250.6666666666667</v>
          </cell>
          <cell r="X32">
            <v>950.66666666666674</v>
          </cell>
          <cell r="Y32">
            <v>1250.6666666666667</v>
          </cell>
          <cell r="AA32">
            <v>950.66666666666674</v>
          </cell>
          <cell r="AB32">
            <v>1250.6666666666667</v>
          </cell>
          <cell r="AD32">
            <v>950.66666666666674</v>
          </cell>
          <cell r="AE32">
            <v>1250.6666666666667</v>
          </cell>
          <cell r="AG32">
            <v>950.66666666666674</v>
          </cell>
          <cell r="AH32">
            <v>1250.6666666666667</v>
          </cell>
        </row>
        <row r="36">
          <cell r="C36">
            <v>1000</v>
          </cell>
          <cell r="D36">
            <v>967.44096668745055</v>
          </cell>
          <cell r="E36">
            <v>935.87122312643714</v>
          </cell>
          <cell r="F36">
            <v>906.25</v>
          </cell>
          <cell r="G36">
            <v>879.47732318377393</v>
          </cell>
          <cell r="H36">
            <v>856.36666691519167</v>
          </cell>
          <cell r="I36">
            <v>837.62023679041772</v>
          </cell>
          <cell r="J36">
            <v>823.80763360264223</v>
          </cell>
          <cell r="K36">
            <v>815.34854631021096</v>
          </cell>
          <cell r="L36">
            <v>812.5</v>
          </cell>
          <cell r="M36">
            <v>815.34854631021096</v>
          </cell>
          <cell r="N36">
            <v>823.80763360264223</v>
          </cell>
          <cell r="O36">
            <v>837.62023679041772</v>
          </cell>
          <cell r="P36">
            <v>856.36666691519167</v>
          </cell>
          <cell r="Q36">
            <v>879.47732318377393</v>
          </cell>
          <cell r="R36">
            <v>906.25</v>
          </cell>
          <cell r="S36">
            <v>935.87122312643714</v>
          </cell>
          <cell r="T36">
            <v>967.44096668745055</v>
          </cell>
          <cell r="U36">
            <v>1000</v>
          </cell>
          <cell r="V36">
            <v>1032.5590333125494</v>
          </cell>
          <cell r="W36">
            <v>1064.1287768735629</v>
          </cell>
          <cell r="X36">
            <v>1093.75</v>
          </cell>
          <cell r="Y36">
            <v>1120.5226768162261</v>
          </cell>
          <cell r="Z36">
            <v>1143.6333330848083</v>
          </cell>
          <cell r="AA36">
            <v>1162.3797632095823</v>
          </cell>
          <cell r="AB36">
            <v>1176.1923663973578</v>
          </cell>
          <cell r="AC36">
            <v>1184.6514536897889</v>
          </cell>
          <cell r="AD36">
            <v>1187.5</v>
          </cell>
          <cell r="AE36">
            <v>1184.6514536897889</v>
          </cell>
          <cell r="AF36">
            <v>1176.1923663973578</v>
          </cell>
          <cell r="AG36">
            <v>1162.3797632095823</v>
          </cell>
          <cell r="AH36">
            <v>1143.6333330848083</v>
          </cell>
          <cell r="AI36">
            <v>1120.5226768162261</v>
          </cell>
          <cell r="AJ36">
            <v>1093.75</v>
          </cell>
          <cell r="AK36">
            <v>1064.1287768735629</v>
          </cell>
          <cell r="AL36">
            <v>1032.5590333125494</v>
          </cell>
          <cell r="AM36">
            <v>1000</v>
          </cell>
        </row>
        <row r="37">
          <cell r="C37">
            <v>350</v>
          </cell>
          <cell r="D37">
            <v>317.44096668745055</v>
          </cell>
          <cell r="E37">
            <v>285.87122312643714</v>
          </cell>
          <cell r="F37">
            <v>256.25</v>
          </cell>
          <cell r="G37">
            <v>229.47732318377388</v>
          </cell>
          <cell r="H37">
            <v>206.36666691519162</v>
          </cell>
          <cell r="I37">
            <v>187.62023679041775</v>
          </cell>
          <cell r="J37">
            <v>173.8076336026422</v>
          </cell>
          <cell r="K37">
            <v>165.34854631021099</v>
          </cell>
          <cell r="L37">
            <v>162.5</v>
          </cell>
          <cell r="M37">
            <v>165.34854631021099</v>
          </cell>
          <cell r="N37">
            <v>173.80763360264217</v>
          </cell>
          <cell r="O37">
            <v>187.62023679041775</v>
          </cell>
          <cell r="P37">
            <v>206.36666691519162</v>
          </cell>
          <cell r="Q37">
            <v>229.47732318377388</v>
          </cell>
          <cell r="R37">
            <v>256.25</v>
          </cell>
          <cell r="S37">
            <v>285.87122312643709</v>
          </cell>
          <cell r="T37">
            <v>317.44096668745055</v>
          </cell>
          <cell r="U37">
            <v>350</v>
          </cell>
          <cell r="V37">
            <v>382.55903331254945</v>
          </cell>
          <cell r="W37">
            <v>414.12877687356291</v>
          </cell>
          <cell r="X37">
            <v>443.75</v>
          </cell>
          <cell r="Y37">
            <v>470.52267681622612</v>
          </cell>
          <cell r="Z37">
            <v>493.63333308480838</v>
          </cell>
          <cell r="AA37">
            <v>512.37976320958228</v>
          </cell>
          <cell r="AB37">
            <v>526.19236639735777</v>
          </cell>
          <cell r="AC37">
            <v>534.65145368978904</v>
          </cell>
          <cell r="AD37">
            <v>537.5</v>
          </cell>
          <cell r="AE37">
            <v>534.65145368978904</v>
          </cell>
          <cell r="AF37">
            <v>526.19236639735777</v>
          </cell>
          <cell r="AG37">
            <v>512.37976320958228</v>
          </cell>
          <cell r="AH37">
            <v>493.63333308480838</v>
          </cell>
          <cell r="AI37">
            <v>470.52267681622612</v>
          </cell>
          <cell r="AJ37">
            <v>443.75</v>
          </cell>
          <cell r="AK37">
            <v>414.12877687356291</v>
          </cell>
          <cell r="AL37">
            <v>382.55903331254945</v>
          </cell>
          <cell r="AM37">
            <v>350</v>
          </cell>
        </row>
        <row r="38">
          <cell r="C38">
            <v>1650</v>
          </cell>
          <cell r="D38">
            <v>1617.4409666874506</v>
          </cell>
          <cell r="E38">
            <v>1585.8712231264371</v>
          </cell>
          <cell r="F38">
            <v>1556.25</v>
          </cell>
          <cell r="G38">
            <v>1529.4773231837739</v>
          </cell>
          <cell r="H38">
            <v>1506.3666669151917</v>
          </cell>
          <cell r="I38">
            <v>1487.6202367904177</v>
          </cell>
          <cell r="J38">
            <v>1473.8076336026422</v>
          </cell>
          <cell r="K38">
            <v>1465.3485463102111</v>
          </cell>
          <cell r="L38">
            <v>1462.5</v>
          </cell>
          <cell r="M38">
            <v>1465.3485463102111</v>
          </cell>
          <cell r="N38">
            <v>1473.8076336026422</v>
          </cell>
          <cell r="O38">
            <v>1487.6202367904177</v>
          </cell>
          <cell r="P38">
            <v>1506.3666669151917</v>
          </cell>
          <cell r="Q38">
            <v>1529.4773231837739</v>
          </cell>
          <cell r="R38">
            <v>1556.25</v>
          </cell>
          <cell r="S38">
            <v>1585.8712231264371</v>
          </cell>
          <cell r="T38">
            <v>1617.4409666874506</v>
          </cell>
          <cell r="U38">
            <v>1650</v>
          </cell>
          <cell r="V38">
            <v>1682.5590333125494</v>
          </cell>
          <cell r="W38">
            <v>1714.1287768735629</v>
          </cell>
          <cell r="X38">
            <v>1743.75</v>
          </cell>
          <cell r="Y38">
            <v>1770.5226768162261</v>
          </cell>
          <cell r="Z38">
            <v>1793.6333330848083</v>
          </cell>
          <cell r="AA38">
            <v>1812.3797632095823</v>
          </cell>
          <cell r="AB38">
            <v>1826.1923663973578</v>
          </cell>
          <cell r="AC38">
            <v>1834.6514536897889</v>
          </cell>
          <cell r="AD38">
            <v>1837.5</v>
          </cell>
          <cell r="AE38">
            <v>1834.6514536897889</v>
          </cell>
          <cell r="AF38">
            <v>1826.1923663973578</v>
          </cell>
          <cell r="AG38">
            <v>1812.3797632095823</v>
          </cell>
          <cell r="AH38">
            <v>1793.6333330848083</v>
          </cell>
          <cell r="AI38">
            <v>1770.5226768162261</v>
          </cell>
          <cell r="AJ38">
            <v>1743.75</v>
          </cell>
          <cell r="AK38">
            <v>1714.1287768735629</v>
          </cell>
          <cell r="AL38">
            <v>1682.5590333125494</v>
          </cell>
          <cell r="AM38">
            <v>1650</v>
          </cell>
        </row>
        <row r="39">
          <cell r="C39">
            <v>162.5</v>
          </cell>
          <cell r="D39">
            <v>165.34854631021099</v>
          </cell>
          <cell r="E39">
            <v>173.80763360264217</v>
          </cell>
          <cell r="F39">
            <v>187.62023679041775</v>
          </cell>
          <cell r="G39">
            <v>206.36666691519159</v>
          </cell>
          <cell r="H39">
            <v>229.47732318377388</v>
          </cell>
          <cell r="I39">
            <v>256.25</v>
          </cell>
          <cell r="J39">
            <v>285.87122312643703</v>
          </cell>
          <cell r="K39">
            <v>317.4409666874505</v>
          </cell>
          <cell r="L39">
            <v>350</v>
          </cell>
          <cell r="M39">
            <v>382.5590333125495</v>
          </cell>
          <cell r="N39">
            <v>414.12877687356286</v>
          </cell>
          <cell r="O39">
            <v>443.75</v>
          </cell>
          <cell r="P39">
            <v>470.52267681622612</v>
          </cell>
          <cell r="Q39">
            <v>493.63333308480838</v>
          </cell>
          <cell r="R39">
            <v>512.37976320958228</v>
          </cell>
          <cell r="S39">
            <v>526.19236639735777</v>
          </cell>
          <cell r="T39">
            <v>534.65145368978904</v>
          </cell>
          <cell r="U39">
            <v>537.5</v>
          </cell>
          <cell r="V39">
            <v>534.65145368978904</v>
          </cell>
          <cell r="W39">
            <v>526.19236639735777</v>
          </cell>
          <cell r="X39">
            <v>512.37976320958228</v>
          </cell>
          <cell r="Y39">
            <v>493.63333308480838</v>
          </cell>
          <cell r="Z39">
            <v>470.52267681622612</v>
          </cell>
          <cell r="AA39">
            <v>443.75</v>
          </cell>
          <cell r="AB39">
            <v>414.12877687356286</v>
          </cell>
          <cell r="AC39">
            <v>382.5590333125495</v>
          </cell>
          <cell r="AD39">
            <v>350</v>
          </cell>
          <cell r="AE39">
            <v>317.4409666874505</v>
          </cell>
          <cell r="AF39">
            <v>285.87122312643714</v>
          </cell>
          <cell r="AG39">
            <v>256.25</v>
          </cell>
          <cell r="AH39">
            <v>229.47732318377388</v>
          </cell>
          <cell r="AI39">
            <v>206.36666691519162</v>
          </cell>
          <cell r="AJ39">
            <v>187.62023679041775</v>
          </cell>
          <cell r="AK39">
            <v>173.8076336026422</v>
          </cell>
          <cell r="AL39">
            <v>165.34854631021099</v>
          </cell>
          <cell r="AM39">
            <v>162.5</v>
          </cell>
        </row>
        <row r="40">
          <cell r="C40">
            <v>1288.5</v>
          </cell>
          <cell r="D40">
            <v>1291.3485463102111</v>
          </cell>
          <cell r="E40">
            <v>1299.8076336026422</v>
          </cell>
          <cell r="F40">
            <v>1313.6202367904177</v>
          </cell>
          <cell r="G40">
            <v>1332.3666669151917</v>
          </cell>
          <cell r="H40">
            <v>1355.4773231837739</v>
          </cell>
          <cell r="I40">
            <v>1382.25</v>
          </cell>
          <cell r="J40">
            <v>1411.8712231264371</v>
          </cell>
          <cell r="K40">
            <v>1443.4409666874506</v>
          </cell>
          <cell r="L40">
            <v>1476</v>
          </cell>
          <cell r="M40">
            <v>1508.5590333125494</v>
          </cell>
          <cell r="N40">
            <v>1540.1287768735629</v>
          </cell>
          <cell r="O40">
            <v>1569.75</v>
          </cell>
          <cell r="P40">
            <v>1596.5226768162261</v>
          </cell>
          <cell r="Q40">
            <v>1619.6333330848083</v>
          </cell>
          <cell r="R40">
            <v>1638.3797632095823</v>
          </cell>
          <cell r="S40">
            <v>1652.1923663973578</v>
          </cell>
          <cell r="T40">
            <v>1660.6514536897889</v>
          </cell>
          <cell r="U40">
            <v>1663.5</v>
          </cell>
          <cell r="V40">
            <v>1660.6514536897889</v>
          </cell>
          <cell r="W40">
            <v>1652.1923663973578</v>
          </cell>
          <cell r="X40">
            <v>1638.3797632095823</v>
          </cell>
          <cell r="Y40">
            <v>1619.6333330848083</v>
          </cell>
          <cell r="Z40">
            <v>1596.5226768162261</v>
          </cell>
          <cell r="AA40">
            <v>1569.75</v>
          </cell>
          <cell r="AB40">
            <v>1540.1287768735629</v>
          </cell>
          <cell r="AC40">
            <v>1508.5590333125494</v>
          </cell>
          <cell r="AD40">
            <v>1476</v>
          </cell>
          <cell r="AE40">
            <v>1443.4409666874506</v>
          </cell>
          <cell r="AF40">
            <v>1411.8712231264371</v>
          </cell>
          <cell r="AG40">
            <v>1382.25</v>
          </cell>
          <cell r="AH40">
            <v>1355.4773231837739</v>
          </cell>
          <cell r="AI40">
            <v>1332.3666669151917</v>
          </cell>
          <cell r="AJ40">
            <v>1313.6202367904177</v>
          </cell>
          <cell r="AK40">
            <v>1299.8076336026422</v>
          </cell>
          <cell r="AL40">
            <v>1291.3485463102111</v>
          </cell>
          <cell r="AM40">
            <v>1288.5</v>
          </cell>
        </row>
        <row r="42">
          <cell r="C42">
            <v>0</v>
          </cell>
          <cell r="D42">
            <v>0</v>
          </cell>
          <cell r="E42">
            <v>2000</v>
          </cell>
          <cell r="F42">
            <v>2000</v>
          </cell>
          <cell r="G42">
            <v>0</v>
          </cell>
          <cell r="I42">
            <v>650</v>
          </cell>
          <cell r="J42">
            <v>650</v>
          </cell>
          <cell r="L42">
            <v>1350</v>
          </cell>
          <cell r="M42">
            <v>1350</v>
          </cell>
        </row>
        <row r="43">
          <cell r="C43">
            <v>240</v>
          </cell>
          <cell r="D43">
            <v>640</v>
          </cell>
          <cell r="E43">
            <v>640</v>
          </cell>
          <cell r="F43">
            <v>240</v>
          </cell>
          <cell r="G43">
            <v>240</v>
          </cell>
          <cell r="I43">
            <v>240</v>
          </cell>
          <cell r="J43">
            <v>640</v>
          </cell>
          <cell r="L43">
            <v>240</v>
          </cell>
          <cell r="M43">
            <v>640</v>
          </cell>
        </row>
        <row r="44">
          <cell r="C44">
            <v>162.5</v>
          </cell>
          <cell r="D44">
            <v>162.5</v>
          </cell>
          <cell r="F44">
            <v>537.5</v>
          </cell>
          <cell r="G44">
            <v>537.5</v>
          </cell>
          <cell r="I44">
            <v>1462.5</v>
          </cell>
          <cell r="J44">
            <v>1462.5</v>
          </cell>
          <cell r="L44">
            <v>1837.5</v>
          </cell>
          <cell r="M44">
            <v>1837.5</v>
          </cell>
          <cell r="O44">
            <v>850</v>
          </cell>
          <cell r="P44">
            <v>850</v>
          </cell>
          <cell r="R44">
            <v>1150</v>
          </cell>
          <cell r="S44">
            <v>1150</v>
          </cell>
        </row>
        <row r="45">
          <cell r="C45">
            <v>0</v>
          </cell>
          <cell r="D45">
            <v>240</v>
          </cell>
          <cell r="F45">
            <v>0</v>
          </cell>
          <cell r="G45">
            <v>240</v>
          </cell>
          <cell r="I45">
            <v>0</v>
          </cell>
          <cell r="J45">
            <v>240</v>
          </cell>
          <cell r="L45">
            <v>0</v>
          </cell>
          <cell r="M45">
            <v>240</v>
          </cell>
          <cell r="O45">
            <v>640</v>
          </cell>
          <cell r="P45">
            <v>940</v>
          </cell>
          <cell r="R45">
            <v>640</v>
          </cell>
          <cell r="S45">
            <v>940</v>
          </cell>
        </row>
        <row r="46">
          <cell r="C46">
            <v>162.5</v>
          </cell>
          <cell r="D46">
            <v>162.5</v>
          </cell>
          <cell r="E46">
            <v>537.5</v>
          </cell>
          <cell r="F46">
            <v>537.5</v>
          </cell>
          <cell r="H46">
            <v>1462.5</v>
          </cell>
          <cell r="I46">
            <v>1462.5</v>
          </cell>
          <cell r="J46">
            <v>1837.5</v>
          </cell>
          <cell r="K46">
            <v>1837.5</v>
          </cell>
          <cell r="M46">
            <v>812.5</v>
          </cell>
          <cell r="N46">
            <v>812.5</v>
          </cell>
          <cell r="P46">
            <v>1187.5</v>
          </cell>
          <cell r="Q46">
            <v>1187.5</v>
          </cell>
        </row>
        <row r="47">
          <cell r="C47">
            <v>240</v>
          </cell>
          <cell r="D47">
            <v>290</v>
          </cell>
          <cell r="E47">
            <v>290</v>
          </cell>
          <cell r="F47">
            <v>240</v>
          </cell>
          <cell r="H47">
            <v>240</v>
          </cell>
          <cell r="I47">
            <v>290</v>
          </cell>
          <cell r="J47">
            <v>290</v>
          </cell>
          <cell r="K47">
            <v>240</v>
          </cell>
          <cell r="M47">
            <v>0</v>
          </cell>
          <cell r="N47">
            <v>240</v>
          </cell>
          <cell r="P47">
            <v>0</v>
          </cell>
          <cell r="Q47">
            <v>240</v>
          </cell>
        </row>
        <row r="48">
          <cell r="C48">
            <v>50</v>
          </cell>
          <cell r="D48">
            <v>50</v>
          </cell>
          <cell r="E48">
            <v>1950</v>
          </cell>
          <cell r="F48">
            <v>1950</v>
          </cell>
        </row>
        <row r="49">
          <cell r="C49">
            <v>580</v>
          </cell>
          <cell r="D49">
            <v>580</v>
          </cell>
          <cell r="E49">
            <v>580</v>
          </cell>
          <cell r="F49">
            <v>580</v>
          </cell>
        </row>
        <row r="50">
          <cell r="C50">
            <v>50</v>
          </cell>
          <cell r="D50">
            <v>50</v>
          </cell>
          <cell r="E50">
            <v>1950</v>
          </cell>
          <cell r="F50">
            <v>1950</v>
          </cell>
          <cell r="J50">
            <v>8</v>
          </cell>
        </row>
        <row r="51">
          <cell r="C51">
            <v>555.5</v>
          </cell>
          <cell r="D51">
            <v>325</v>
          </cell>
          <cell r="E51">
            <v>325</v>
          </cell>
          <cell r="F51">
            <v>555.5</v>
          </cell>
          <cell r="J51">
            <v>2</v>
          </cell>
        </row>
        <row r="52">
          <cell r="C52">
            <v>68.75</v>
          </cell>
          <cell r="D52">
            <v>68.75</v>
          </cell>
          <cell r="F52">
            <v>68.75</v>
          </cell>
          <cell r="G52">
            <v>68.75</v>
          </cell>
          <cell r="I52">
            <v>218.75</v>
          </cell>
          <cell r="J52">
            <v>218.75</v>
          </cell>
          <cell r="L52">
            <v>1931.25</v>
          </cell>
          <cell r="M52">
            <v>1931.25</v>
          </cell>
          <cell r="O52">
            <v>1931.25</v>
          </cell>
          <cell r="P52">
            <v>1931.25</v>
          </cell>
          <cell r="R52">
            <v>1781.25</v>
          </cell>
          <cell r="S52">
            <v>1781.25</v>
          </cell>
        </row>
        <row r="53">
          <cell r="C53">
            <v>315</v>
          </cell>
          <cell r="D53">
            <v>590</v>
          </cell>
          <cell r="F53">
            <v>315</v>
          </cell>
          <cell r="G53">
            <v>590</v>
          </cell>
          <cell r="I53">
            <v>315</v>
          </cell>
          <cell r="J53">
            <v>590</v>
          </cell>
          <cell r="L53">
            <v>315</v>
          </cell>
          <cell r="M53">
            <v>590</v>
          </cell>
          <cell r="O53">
            <v>315</v>
          </cell>
          <cell r="P53">
            <v>590</v>
          </cell>
          <cell r="R53">
            <v>315</v>
          </cell>
          <cell r="S53">
            <v>590</v>
          </cell>
        </row>
        <row r="54">
          <cell r="C54">
            <v>475</v>
          </cell>
          <cell r="D54">
            <v>475</v>
          </cell>
          <cell r="F54">
            <v>625</v>
          </cell>
          <cell r="G54">
            <v>625</v>
          </cell>
          <cell r="I54">
            <v>775</v>
          </cell>
          <cell r="J54">
            <v>775</v>
          </cell>
          <cell r="L54">
            <v>925</v>
          </cell>
          <cell r="M54">
            <v>925</v>
          </cell>
          <cell r="O54">
            <v>1075</v>
          </cell>
          <cell r="P54">
            <v>1075</v>
          </cell>
          <cell r="R54">
            <v>1225</v>
          </cell>
          <cell r="S54">
            <v>1225</v>
          </cell>
          <cell r="U54">
            <v>1375</v>
          </cell>
          <cell r="V54">
            <v>1375</v>
          </cell>
          <cell r="X54">
            <v>1525</v>
          </cell>
          <cell r="Y54">
            <v>1525</v>
          </cell>
          <cell r="AA54">
            <v>1525</v>
          </cell>
          <cell r="AB54">
            <v>1525</v>
          </cell>
          <cell r="AD54">
            <v>1525</v>
          </cell>
          <cell r="AE54">
            <v>1525</v>
          </cell>
          <cell r="AG54">
            <v>1525</v>
          </cell>
          <cell r="AH54">
            <v>1525</v>
          </cell>
          <cell r="AJ54">
            <v>1525</v>
          </cell>
          <cell r="AK54">
            <v>1525</v>
          </cell>
          <cell r="AM54">
            <v>1525</v>
          </cell>
          <cell r="AN54">
            <v>1525</v>
          </cell>
          <cell r="AP54">
            <v>1525</v>
          </cell>
          <cell r="AQ54">
            <v>1525</v>
          </cell>
          <cell r="AS54">
            <v>1525</v>
          </cell>
          <cell r="AT54">
            <v>1525</v>
          </cell>
          <cell r="AV54">
            <v>1525</v>
          </cell>
          <cell r="AW54">
            <v>1525</v>
          </cell>
          <cell r="AY54">
            <v>1525</v>
          </cell>
          <cell r="AZ54">
            <v>1525</v>
          </cell>
          <cell r="BB54">
            <v>1525</v>
          </cell>
          <cell r="BC54">
            <v>1525</v>
          </cell>
          <cell r="BE54">
            <v>1525</v>
          </cell>
          <cell r="BF54">
            <v>1525</v>
          </cell>
          <cell r="BH54">
            <v>1525</v>
          </cell>
          <cell r="BI54">
            <v>1525</v>
          </cell>
        </row>
        <row r="55">
          <cell r="C55">
            <v>315</v>
          </cell>
          <cell r="D55">
            <v>590</v>
          </cell>
          <cell r="F55">
            <v>315</v>
          </cell>
          <cell r="G55">
            <v>590</v>
          </cell>
          <cell r="I55">
            <v>315</v>
          </cell>
          <cell r="J55">
            <v>590</v>
          </cell>
          <cell r="L55">
            <v>315</v>
          </cell>
          <cell r="M55">
            <v>590</v>
          </cell>
          <cell r="O55">
            <v>315</v>
          </cell>
          <cell r="P55">
            <v>590</v>
          </cell>
          <cell r="R55">
            <v>315</v>
          </cell>
          <cell r="S55">
            <v>590</v>
          </cell>
          <cell r="U55">
            <v>315</v>
          </cell>
          <cell r="V55">
            <v>590</v>
          </cell>
          <cell r="X55">
            <v>315</v>
          </cell>
          <cell r="Y55">
            <v>590</v>
          </cell>
          <cell r="AA55">
            <v>315</v>
          </cell>
          <cell r="AB55">
            <v>590</v>
          </cell>
          <cell r="AD55">
            <v>315</v>
          </cell>
          <cell r="AE55">
            <v>590</v>
          </cell>
          <cell r="AG55">
            <v>315</v>
          </cell>
          <cell r="AH55">
            <v>590</v>
          </cell>
          <cell r="AJ55">
            <v>315</v>
          </cell>
          <cell r="AK55">
            <v>590</v>
          </cell>
          <cell r="AM55">
            <v>315</v>
          </cell>
          <cell r="AN55">
            <v>590</v>
          </cell>
          <cell r="AP55">
            <v>315</v>
          </cell>
          <cell r="AQ55">
            <v>590</v>
          </cell>
          <cell r="AS55">
            <v>315</v>
          </cell>
          <cell r="AT55">
            <v>590</v>
          </cell>
          <cell r="AV55">
            <v>315</v>
          </cell>
          <cell r="AW55">
            <v>590</v>
          </cell>
          <cell r="AY55">
            <v>315</v>
          </cell>
          <cell r="AZ55">
            <v>590</v>
          </cell>
          <cell r="BB55">
            <v>315</v>
          </cell>
          <cell r="BC55">
            <v>590</v>
          </cell>
          <cell r="BE55">
            <v>315</v>
          </cell>
          <cell r="BF55">
            <v>590</v>
          </cell>
          <cell r="BH55">
            <v>315</v>
          </cell>
          <cell r="BI55">
            <v>590</v>
          </cell>
        </row>
        <row r="57">
          <cell r="C57">
            <v>0</v>
          </cell>
          <cell r="D57">
            <v>0</v>
          </cell>
          <cell r="E57">
            <v>1826</v>
          </cell>
          <cell r="F57">
            <v>1826</v>
          </cell>
          <cell r="G57">
            <v>0</v>
          </cell>
          <cell r="I57">
            <v>1126</v>
          </cell>
          <cell r="J57">
            <v>1126</v>
          </cell>
        </row>
        <row r="58">
          <cell r="C58">
            <v>240</v>
          </cell>
          <cell r="D58">
            <v>640</v>
          </cell>
          <cell r="E58">
            <v>640</v>
          </cell>
          <cell r="F58">
            <v>240</v>
          </cell>
          <cell r="G58">
            <v>240</v>
          </cell>
          <cell r="I58">
            <v>240</v>
          </cell>
          <cell r="J58">
            <v>640</v>
          </cell>
        </row>
        <row r="59">
          <cell r="C59">
            <v>162.5</v>
          </cell>
          <cell r="D59">
            <v>162.5</v>
          </cell>
          <cell r="F59">
            <v>537.5</v>
          </cell>
          <cell r="G59">
            <v>537.5</v>
          </cell>
          <cell r="I59">
            <v>1288.5</v>
          </cell>
          <cell r="J59">
            <v>1288.5</v>
          </cell>
          <cell r="L59">
            <v>1663.5</v>
          </cell>
          <cell r="M59">
            <v>1663.5</v>
          </cell>
          <cell r="O59">
            <v>950.66666666666674</v>
          </cell>
          <cell r="P59">
            <v>950.66666666666674</v>
          </cell>
          <cell r="R59">
            <v>1250.6666666666667</v>
          </cell>
          <cell r="S59">
            <v>1250.6666666666667</v>
          </cell>
        </row>
        <row r="60">
          <cell r="C60">
            <v>0</v>
          </cell>
          <cell r="D60">
            <v>240</v>
          </cell>
          <cell r="F60">
            <v>0</v>
          </cell>
          <cell r="G60">
            <v>240</v>
          </cell>
          <cell r="I60">
            <v>0</v>
          </cell>
          <cell r="J60">
            <v>240</v>
          </cell>
          <cell r="L60">
            <v>0</v>
          </cell>
          <cell r="M60">
            <v>240</v>
          </cell>
        </row>
        <row r="61">
          <cell r="C61">
            <v>162.5</v>
          </cell>
          <cell r="D61">
            <v>162.5</v>
          </cell>
          <cell r="E61">
            <v>537.5</v>
          </cell>
          <cell r="F61">
            <v>537.5</v>
          </cell>
          <cell r="H61">
            <v>1288.5</v>
          </cell>
          <cell r="I61">
            <v>1288.5</v>
          </cell>
          <cell r="J61">
            <v>1663.5</v>
          </cell>
          <cell r="K61">
            <v>1663.5</v>
          </cell>
        </row>
        <row r="62">
          <cell r="C62">
            <v>240</v>
          </cell>
          <cell r="D62">
            <v>290</v>
          </cell>
          <cell r="E62">
            <v>290</v>
          </cell>
          <cell r="F62">
            <v>240</v>
          </cell>
          <cell r="H62">
            <v>240</v>
          </cell>
          <cell r="I62">
            <v>290</v>
          </cell>
          <cell r="J62">
            <v>290</v>
          </cell>
          <cell r="K62">
            <v>240</v>
          </cell>
        </row>
        <row r="63">
          <cell r="C63">
            <v>50</v>
          </cell>
          <cell r="D63">
            <v>766</v>
          </cell>
          <cell r="E63">
            <v>1126</v>
          </cell>
          <cell r="F63">
            <v>1776</v>
          </cell>
        </row>
        <row r="64">
          <cell r="C64">
            <v>568</v>
          </cell>
          <cell r="D64">
            <v>568</v>
          </cell>
          <cell r="E64">
            <v>568</v>
          </cell>
          <cell r="F64">
            <v>568</v>
          </cell>
        </row>
        <row r="65">
          <cell r="C65">
            <v>50</v>
          </cell>
          <cell r="D65">
            <v>50</v>
          </cell>
          <cell r="E65">
            <v>1776</v>
          </cell>
          <cell r="F65">
            <v>1776</v>
          </cell>
          <cell r="J65">
            <v>5</v>
          </cell>
        </row>
        <row r="66">
          <cell r="C66">
            <v>527</v>
          </cell>
          <cell r="D66">
            <v>337</v>
          </cell>
          <cell r="E66">
            <v>337</v>
          </cell>
          <cell r="F66">
            <v>527</v>
          </cell>
          <cell r="J66">
            <v>2</v>
          </cell>
        </row>
        <row r="67">
          <cell r="C67">
            <v>56.25</v>
          </cell>
          <cell r="D67">
            <v>56.25</v>
          </cell>
          <cell r="F67">
            <v>56.25</v>
          </cell>
          <cell r="G67">
            <v>56.25</v>
          </cell>
          <cell r="I67">
            <v>231.25</v>
          </cell>
          <cell r="J67">
            <v>231.25</v>
          </cell>
        </row>
        <row r="68">
          <cell r="C68">
            <v>327</v>
          </cell>
          <cell r="D68">
            <v>580</v>
          </cell>
          <cell r="F68">
            <v>327</v>
          </cell>
          <cell r="G68">
            <v>580</v>
          </cell>
          <cell r="I68">
            <v>327</v>
          </cell>
          <cell r="J68">
            <v>580</v>
          </cell>
        </row>
        <row r="69">
          <cell r="C69">
            <v>413</v>
          </cell>
          <cell r="D69">
            <v>413</v>
          </cell>
          <cell r="F69">
            <v>588</v>
          </cell>
          <cell r="G69">
            <v>588</v>
          </cell>
          <cell r="I69">
            <v>763</v>
          </cell>
          <cell r="J69">
            <v>763</v>
          </cell>
          <cell r="L69">
            <v>938</v>
          </cell>
          <cell r="M69">
            <v>938</v>
          </cell>
          <cell r="O69">
            <v>1113</v>
          </cell>
          <cell r="P69">
            <v>1113</v>
          </cell>
          <cell r="R69">
            <v>1113</v>
          </cell>
          <cell r="S69">
            <v>1113</v>
          </cell>
          <cell r="U69">
            <v>1113</v>
          </cell>
          <cell r="V69">
            <v>1113</v>
          </cell>
          <cell r="X69">
            <v>1113</v>
          </cell>
          <cell r="Y69">
            <v>1113</v>
          </cell>
          <cell r="AA69">
            <v>1113</v>
          </cell>
          <cell r="AB69">
            <v>1113</v>
          </cell>
          <cell r="AD69">
            <v>1113</v>
          </cell>
          <cell r="AE69">
            <v>1113</v>
          </cell>
          <cell r="AG69">
            <v>1113</v>
          </cell>
          <cell r="AH69">
            <v>1113</v>
          </cell>
          <cell r="AJ69">
            <v>1113</v>
          </cell>
          <cell r="AK69">
            <v>1113</v>
          </cell>
          <cell r="AM69">
            <v>1113</v>
          </cell>
          <cell r="AN69">
            <v>1113</v>
          </cell>
          <cell r="AP69">
            <v>1113</v>
          </cell>
          <cell r="AQ69">
            <v>1113</v>
          </cell>
          <cell r="AS69">
            <v>1113</v>
          </cell>
          <cell r="AT69">
            <v>1113</v>
          </cell>
          <cell r="AV69">
            <v>1113</v>
          </cell>
          <cell r="AW69">
            <v>1113</v>
          </cell>
          <cell r="AY69">
            <v>1113</v>
          </cell>
          <cell r="AZ69">
            <v>1113</v>
          </cell>
          <cell r="BB69">
            <v>1113</v>
          </cell>
          <cell r="BC69">
            <v>1113</v>
          </cell>
          <cell r="BE69">
            <v>1113</v>
          </cell>
          <cell r="BF69">
            <v>1113</v>
          </cell>
          <cell r="BH69">
            <v>1113</v>
          </cell>
          <cell r="BI69">
            <v>1113</v>
          </cell>
        </row>
        <row r="70">
          <cell r="C70">
            <v>327</v>
          </cell>
          <cell r="D70">
            <v>580</v>
          </cell>
          <cell r="F70">
            <v>327</v>
          </cell>
          <cell r="G70">
            <v>580</v>
          </cell>
          <cell r="I70">
            <v>327</v>
          </cell>
          <cell r="J70">
            <v>580</v>
          </cell>
          <cell r="L70">
            <v>327</v>
          </cell>
          <cell r="M70">
            <v>580</v>
          </cell>
          <cell r="O70">
            <v>327</v>
          </cell>
          <cell r="P70">
            <v>580</v>
          </cell>
          <cell r="R70">
            <v>327</v>
          </cell>
          <cell r="S70">
            <v>580</v>
          </cell>
          <cell r="U70">
            <v>327</v>
          </cell>
          <cell r="V70">
            <v>580</v>
          </cell>
          <cell r="X70">
            <v>327</v>
          </cell>
          <cell r="Y70">
            <v>580</v>
          </cell>
          <cell r="AA70">
            <v>327</v>
          </cell>
          <cell r="AB70">
            <v>580</v>
          </cell>
          <cell r="AD70">
            <v>327</v>
          </cell>
          <cell r="AE70">
            <v>580</v>
          </cell>
          <cell r="AG70">
            <v>327</v>
          </cell>
          <cell r="AH70">
            <v>580</v>
          </cell>
          <cell r="AJ70">
            <v>327</v>
          </cell>
          <cell r="AK70">
            <v>580</v>
          </cell>
          <cell r="AM70">
            <v>327</v>
          </cell>
          <cell r="AN70">
            <v>580</v>
          </cell>
          <cell r="AP70">
            <v>327</v>
          </cell>
          <cell r="AQ70">
            <v>580</v>
          </cell>
          <cell r="AS70">
            <v>327</v>
          </cell>
          <cell r="AT70">
            <v>580</v>
          </cell>
          <cell r="AV70">
            <v>327</v>
          </cell>
          <cell r="AW70">
            <v>580</v>
          </cell>
          <cell r="AY70">
            <v>327</v>
          </cell>
          <cell r="AZ70">
            <v>580</v>
          </cell>
          <cell r="BB70">
            <v>327</v>
          </cell>
          <cell r="BC70">
            <v>580</v>
          </cell>
          <cell r="BE70">
            <v>327</v>
          </cell>
          <cell r="BF70">
            <v>580</v>
          </cell>
          <cell r="BH70">
            <v>327</v>
          </cell>
          <cell r="BI70">
            <v>580</v>
          </cell>
        </row>
      </sheetData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"/>
  <sheetViews>
    <sheetView tabSelected="1" workbookViewId="0">
      <selection activeCell="D9" sqref="D9"/>
    </sheetView>
  </sheetViews>
  <sheetFormatPr defaultColWidth="11.140625" defaultRowHeight="15"/>
  <cols>
    <col min="1" max="1" width="3.85546875" style="21" customWidth="1"/>
    <col min="2" max="2" width="14.7109375" style="21" customWidth="1"/>
    <col min="3" max="9" width="10.7109375" style="21" customWidth="1"/>
    <col min="10" max="10" width="13.140625" style="21" customWidth="1"/>
    <col min="11" max="11" width="10.7109375" style="21" customWidth="1"/>
    <col min="12" max="12" width="56.5703125" style="21" bestFit="1" customWidth="1"/>
    <col min="13" max="13" width="11.140625" style="21" customWidth="1"/>
    <col min="14" max="14" width="13.42578125" style="21" bestFit="1" customWidth="1"/>
    <col min="15" max="256" width="11.140625" style="21"/>
    <col min="257" max="257" width="3.85546875" style="21" customWidth="1"/>
    <col min="258" max="258" width="14.7109375" style="21" customWidth="1"/>
    <col min="259" max="265" width="10.7109375" style="21" customWidth="1"/>
    <col min="266" max="266" width="13.140625" style="21" customWidth="1"/>
    <col min="267" max="267" width="10.7109375" style="21" customWidth="1"/>
    <col min="268" max="268" width="56.5703125" style="21" bestFit="1" customWidth="1"/>
    <col min="269" max="269" width="11.140625" style="21" customWidth="1"/>
    <col min="270" max="270" width="13.42578125" style="21" bestFit="1" customWidth="1"/>
    <col min="271" max="512" width="11.140625" style="21"/>
    <col min="513" max="513" width="3.85546875" style="21" customWidth="1"/>
    <col min="514" max="514" width="14.7109375" style="21" customWidth="1"/>
    <col min="515" max="521" width="10.7109375" style="21" customWidth="1"/>
    <col min="522" max="522" width="13.140625" style="21" customWidth="1"/>
    <col min="523" max="523" width="10.7109375" style="21" customWidth="1"/>
    <col min="524" max="524" width="56.5703125" style="21" bestFit="1" customWidth="1"/>
    <col min="525" max="525" width="11.140625" style="21" customWidth="1"/>
    <col min="526" max="526" width="13.42578125" style="21" bestFit="1" customWidth="1"/>
    <col min="527" max="768" width="11.140625" style="21"/>
    <col min="769" max="769" width="3.85546875" style="21" customWidth="1"/>
    <col min="770" max="770" width="14.7109375" style="21" customWidth="1"/>
    <col min="771" max="777" width="10.7109375" style="21" customWidth="1"/>
    <col min="778" max="778" width="13.140625" style="21" customWidth="1"/>
    <col min="779" max="779" width="10.7109375" style="21" customWidth="1"/>
    <col min="780" max="780" width="56.5703125" style="21" bestFit="1" customWidth="1"/>
    <col min="781" max="781" width="11.140625" style="21" customWidth="1"/>
    <col min="782" max="782" width="13.42578125" style="21" bestFit="1" customWidth="1"/>
    <col min="783" max="1024" width="11.140625" style="21"/>
    <col min="1025" max="1025" width="3.85546875" style="21" customWidth="1"/>
    <col min="1026" max="1026" width="14.7109375" style="21" customWidth="1"/>
    <col min="1027" max="1033" width="10.7109375" style="21" customWidth="1"/>
    <col min="1034" max="1034" width="13.140625" style="21" customWidth="1"/>
    <col min="1035" max="1035" width="10.7109375" style="21" customWidth="1"/>
    <col min="1036" max="1036" width="56.5703125" style="21" bestFit="1" customWidth="1"/>
    <col min="1037" max="1037" width="11.140625" style="21" customWidth="1"/>
    <col min="1038" max="1038" width="13.42578125" style="21" bestFit="1" customWidth="1"/>
    <col min="1039" max="1280" width="11.140625" style="21"/>
    <col min="1281" max="1281" width="3.85546875" style="21" customWidth="1"/>
    <col min="1282" max="1282" width="14.7109375" style="21" customWidth="1"/>
    <col min="1283" max="1289" width="10.7109375" style="21" customWidth="1"/>
    <col min="1290" max="1290" width="13.140625" style="21" customWidth="1"/>
    <col min="1291" max="1291" width="10.7109375" style="21" customWidth="1"/>
    <col min="1292" max="1292" width="56.5703125" style="21" bestFit="1" customWidth="1"/>
    <col min="1293" max="1293" width="11.140625" style="21" customWidth="1"/>
    <col min="1294" max="1294" width="13.42578125" style="21" bestFit="1" customWidth="1"/>
    <col min="1295" max="1536" width="11.140625" style="21"/>
    <col min="1537" max="1537" width="3.85546875" style="21" customWidth="1"/>
    <col min="1538" max="1538" width="14.7109375" style="21" customWidth="1"/>
    <col min="1539" max="1545" width="10.7109375" style="21" customWidth="1"/>
    <col min="1546" max="1546" width="13.140625" style="21" customWidth="1"/>
    <col min="1547" max="1547" width="10.7109375" style="21" customWidth="1"/>
    <col min="1548" max="1548" width="56.5703125" style="21" bestFit="1" customWidth="1"/>
    <col min="1549" max="1549" width="11.140625" style="21" customWidth="1"/>
    <col min="1550" max="1550" width="13.42578125" style="21" bestFit="1" customWidth="1"/>
    <col min="1551" max="1792" width="11.140625" style="21"/>
    <col min="1793" max="1793" width="3.85546875" style="21" customWidth="1"/>
    <col min="1794" max="1794" width="14.7109375" style="21" customWidth="1"/>
    <col min="1795" max="1801" width="10.7109375" style="21" customWidth="1"/>
    <col min="1802" max="1802" width="13.140625" style="21" customWidth="1"/>
    <col min="1803" max="1803" width="10.7109375" style="21" customWidth="1"/>
    <col min="1804" max="1804" width="56.5703125" style="21" bestFit="1" customWidth="1"/>
    <col min="1805" max="1805" width="11.140625" style="21" customWidth="1"/>
    <col min="1806" max="1806" width="13.42578125" style="21" bestFit="1" customWidth="1"/>
    <col min="1807" max="2048" width="11.140625" style="21"/>
    <col min="2049" max="2049" width="3.85546875" style="21" customWidth="1"/>
    <col min="2050" max="2050" width="14.7109375" style="21" customWidth="1"/>
    <col min="2051" max="2057" width="10.7109375" style="21" customWidth="1"/>
    <col min="2058" max="2058" width="13.140625" style="21" customWidth="1"/>
    <col min="2059" max="2059" width="10.7109375" style="21" customWidth="1"/>
    <col min="2060" max="2060" width="56.5703125" style="21" bestFit="1" customWidth="1"/>
    <col min="2061" max="2061" width="11.140625" style="21" customWidth="1"/>
    <col min="2062" max="2062" width="13.42578125" style="21" bestFit="1" customWidth="1"/>
    <col min="2063" max="2304" width="11.140625" style="21"/>
    <col min="2305" max="2305" width="3.85546875" style="21" customWidth="1"/>
    <col min="2306" max="2306" width="14.7109375" style="21" customWidth="1"/>
    <col min="2307" max="2313" width="10.7109375" style="21" customWidth="1"/>
    <col min="2314" max="2314" width="13.140625" style="21" customWidth="1"/>
    <col min="2315" max="2315" width="10.7109375" style="21" customWidth="1"/>
    <col min="2316" max="2316" width="56.5703125" style="21" bestFit="1" customWidth="1"/>
    <col min="2317" max="2317" width="11.140625" style="21" customWidth="1"/>
    <col min="2318" max="2318" width="13.42578125" style="21" bestFit="1" customWidth="1"/>
    <col min="2319" max="2560" width="11.140625" style="21"/>
    <col min="2561" max="2561" width="3.85546875" style="21" customWidth="1"/>
    <col min="2562" max="2562" width="14.7109375" style="21" customWidth="1"/>
    <col min="2563" max="2569" width="10.7109375" style="21" customWidth="1"/>
    <col min="2570" max="2570" width="13.140625" style="21" customWidth="1"/>
    <col min="2571" max="2571" width="10.7109375" style="21" customWidth="1"/>
    <col min="2572" max="2572" width="56.5703125" style="21" bestFit="1" customWidth="1"/>
    <col min="2573" max="2573" width="11.140625" style="21" customWidth="1"/>
    <col min="2574" max="2574" width="13.42578125" style="21" bestFit="1" customWidth="1"/>
    <col min="2575" max="2816" width="11.140625" style="21"/>
    <col min="2817" max="2817" width="3.85546875" style="21" customWidth="1"/>
    <col min="2818" max="2818" width="14.7109375" style="21" customWidth="1"/>
    <col min="2819" max="2825" width="10.7109375" style="21" customWidth="1"/>
    <col min="2826" max="2826" width="13.140625" style="21" customWidth="1"/>
    <col min="2827" max="2827" width="10.7109375" style="21" customWidth="1"/>
    <col min="2828" max="2828" width="56.5703125" style="21" bestFit="1" customWidth="1"/>
    <col min="2829" max="2829" width="11.140625" style="21" customWidth="1"/>
    <col min="2830" max="2830" width="13.42578125" style="21" bestFit="1" customWidth="1"/>
    <col min="2831" max="3072" width="11.140625" style="21"/>
    <col min="3073" max="3073" width="3.85546875" style="21" customWidth="1"/>
    <col min="3074" max="3074" width="14.7109375" style="21" customWidth="1"/>
    <col min="3075" max="3081" width="10.7109375" style="21" customWidth="1"/>
    <col min="3082" max="3082" width="13.140625" style="21" customWidth="1"/>
    <col min="3083" max="3083" width="10.7109375" style="21" customWidth="1"/>
    <col min="3084" max="3084" width="56.5703125" style="21" bestFit="1" customWidth="1"/>
    <col min="3085" max="3085" width="11.140625" style="21" customWidth="1"/>
    <col min="3086" max="3086" width="13.42578125" style="21" bestFit="1" customWidth="1"/>
    <col min="3087" max="3328" width="11.140625" style="21"/>
    <col min="3329" max="3329" width="3.85546875" style="21" customWidth="1"/>
    <col min="3330" max="3330" width="14.7109375" style="21" customWidth="1"/>
    <col min="3331" max="3337" width="10.7109375" style="21" customWidth="1"/>
    <col min="3338" max="3338" width="13.140625" style="21" customWidth="1"/>
    <col min="3339" max="3339" width="10.7109375" style="21" customWidth="1"/>
    <col min="3340" max="3340" width="56.5703125" style="21" bestFit="1" customWidth="1"/>
    <col min="3341" max="3341" width="11.140625" style="21" customWidth="1"/>
    <col min="3342" max="3342" width="13.42578125" style="21" bestFit="1" customWidth="1"/>
    <col min="3343" max="3584" width="11.140625" style="21"/>
    <col min="3585" max="3585" width="3.85546875" style="21" customWidth="1"/>
    <col min="3586" max="3586" width="14.7109375" style="21" customWidth="1"/>
    <col min="3587" max="3593" width="10.7109375" style="21" customWidth="1"/>
    <col min="3594" max="3594" width="13.140625" style="21" customWidth="1"/>
    <col min="3595" max="3595" width="10.7109375" style="21" customWidth="1"/>
    <col min="3596" max="3596" width="56.5703125" style="21" bestFit="1" customWidth="1"/>
    <col min="3597" max="3597" width="11.140625" style="21" customWidth="1"/>
    <col min="3598" max="3598" width="13.42578125" style="21" bestFit="1" customWidth="1"/>
    <col min="3599" max="3840" width="11.140625" style="21"/>
    <col min="3841" max="3841" width="3.85546875" style="21" customWidth="1"/>
    <col min="3842" max="3842" width="14.7109375" style="21" customWidth="1"/>
    <col min="3843" max="3849" width="10.7109375" style="21" customWidth="1"/>
    <col min="3850" max="3850" width="13.140625" style="21" customWidth="1"/>
    <col min="3851" max="3851" width="10.7109375" style="21" customWidth="1"/>
    <col min="3852" max="3852" width="56.5703125" style="21" bestFit="1" customWidth="1"/>
    <col min="3853" max="3853" width="11.140625" style="21" customWidth="1"/>
    <col min="3854" max="3854" width="13.42578125" style="21" bestFit="1" customWidth="1"/>
    <col min="3855" max="4096" width="11.140625" style="21"/>
    <col min="4097" max="4097" width="3.85546875" style="21" customWidth="1"/>
    <col min="4098" max="4098" width="14.7109375" style="21" customWidth="1"/>
    <col min="4099" max="4105" width="10.7109375" style="21" customWidth="1"/>
    <col min="4106" max="4106" width="13.140625" style="21" customWidth="1"/>
    <col min="4107" max="4107" width="10.7109375" style="21" customWidth="1"/>
    <col min="4108" max="4108" width="56.5703125" style="21" bestFit="1" customWidth="1"/>
    <col min="4109" max="4109" width="11.140625" style="21" customWidth="1"/>
    <col min="4110" max="4110" width="13.42578125" style="21" bestFit="1" customWidth="1"/>
    <col min="4111" max="4352" width="11.140625" style="21"/>
    <col min="4353" max="4353" width="3.85546875" style="21" customWidth="1"/>
    <col min="4354" max="4354" width="14.7109375" style="21" customWidth="1"/>
    <col min="4355" max="4361" width="10.7109375" style="21" customWidth="1"/>
    <col min="4362" max="4362" width="13.140625" style="21" customWidth="1"/>
    <col min="4363" max="4363" width="10.7109375" style="21" customWidth="1"/>
    <col min="4364" max="4364" width="56.5703125" style="21" bestFit="1" customWidth="1"/>
    <col min="4365" max="4365" width="11.140625" style="21" customWidth="1"/>
    <col min="4366" max="4366" width="13.42578125" style="21" bestFit="1" customWidth="1"/>
    <col min="4367" max="4608" width="11.140625" style="21"/>
    <col min="4609" max="4609" width="3.85546875" style="21" customWidth="1"/>
    <col min="4610" max="4610" width="14.7109375" style="21" customWidth="1"/>
    <col min="4611" max="4617" width="10.7109375" style="21" customWidth="1"/>
    <col min="4618" max="4618" width="13.140625" style="21" customWidth="1"/>
    <col min="4619" max="4619" width="10.7109375" style="21" customWidth="1"/>
    <col min="4620" max="4620" width="56.5703125" style="21" bestFit="1" customWidth="1"/>
    <col min="4621" max="4621" width="11.140625" style="21" customWidth="1"/>
    <col min="4622" max="4622" width="13.42578125" style="21" bestFit="1" customWidth="1"/>
    <col min="4623" max="4864" width="11.140625" style="21"/>
    <col min="4865" max="4865" width="3.85546875" style="21" customWidth="1"/>
    <col min="4866" max="4866" width="14.7109375" style="21" customWidth="1"/>
    <col min="4867" max="4873" width="10.7109375" style="21" customWidth="1"/>
    <col min="4874" max="4874" width="13.140625" style="21" customWidth="1"/>
    <col min="4875" max="4875" width="10.7109375" style="21" customWidth="1"/>
    <col min="4876" max="4876" width="56.5703125" style="21" bestFit="1" customWidth="1"/>
    <col min="4877" max="4877" width="11.140625" style="21" customWidth="1"/>
    <col min="4878" max="4878" width="13.42578125" style="21" bestFit="1" customWidth="1"/>
    <col min="4879" max="5120" width="11.140625" style="21"/>
    <col min="5121" max="5121" width="3.85546875" style="21" customWidth="1"/>
    <col min="5122" max="5122" width="14.7109375" style="21" customWidth="1"/>
    <col min="5123" max="5129" width="10.7109375" style="21" customWidth="1"/>
    <col min="5130" max="5130" width="13.140625" style="21" customWidth="1"/>
    <col min="5131" max="5131" width="10.7109375" style="21" customWidth="1"/>
    <col min="5132" max="5132" width="56.5703125" style="21" bestFit="1" customWidth="1"/>
    <col min="5133" max="5133" width="11.140625" style="21" customWidth="1"/>
    <col min="5134" max="5134" width="13.42578125" style="21" bestFit="1" customWidth="1"/>
    <col min="5135" max="5376" width="11.140625" style="21"/>
    <col min="5377" max="5377" width="3.85546875" style="21" customWidth="1"/>
    <col min="5378" max="5378" width="14.7109375" style="21" customWidth="1"/>
    <col min="5379" max="5385" width="10.7109375" style="21" customWidth="1"/>
    <col min="5386" max="5386" width="13.140625" style="21" customWidth="1"/>
    <col min="5387" max="5387" width="10.7109375" style="21" customWidth="1"/>
    <col min="5388" max="5388" width="56.5703125" style="21" bestFit="1" customWidth="1"/>
    <col min="5389" max="5389" width="11.140625" style="21" customWidth="1"/>
    <col min="5390" max="5390" width="13.42578125" style="21" bestFit="1" customWidth="1"/>
    <col min="5391" max="5632" width="11.140625" style="21"/>
    <col min="5633" max="5633" width="3.85546875" style="21" customWidth="1"/>
    <col min="5634" max="5634" width="14.7109375" style="21" customWidth="1"/>
    <col min="5635" max="5641" width="10.7109375" style="21" customWidth="1"/>
    <col min="5642" max="5642" width="13.140625" style="21" customWidth="1"/>
    <col min="5643" max="5643" width="10.7109375" style="21" customWidth="1"/>
    <col min="5644" max="5644" width="56.5703125" style="21" bestFit="1" customWidth="1"/>
    <col min="5645" max="5645" width="11.140625" style="21" customWidth="1"/>
    <col min="5646" max="5646" width="13.42578125" style="21" bestFit="1" customWidth="1"/>
    <col min="5647" max="5888" width="11.140625" style="21"/>
    <col min="5889" max="5889" width="3.85546875" style="21" customWidth="1"/>
    <col min="5890" max="5890" width="14.7109375" style="21" customWidth="1"/>
    <col min="5891" max="5897" width="10.7109375" style="21" customWidth="1"/>
    <col min="5898" max="5898" width="13.140625" style="21" customWidth="1"/>
    <col min="5899" max="5899" width="10.7109375" style="21" customWidth="1"/>
    <col min="5900" max="5900" width="56.5703125" style="21" bestFit="1" customWidth="1"/>
    <col min="5901" max="5901" width="11.140625" style="21" customWidth="1"/>
    <col min="5902" max="5902" width="13.42578125" style="21" bestFit="1" customWidth="1"/>
    <col min="5903" max="6144" width="11.140625" style="21"/>
    <col min="6145" max="6145" width="3.85546875" style="21" customWidth="1"/>
    <col min="6146" max="6146" width="14.7109375" style="21" customWidth="1"/>
    <col min="6147" max="6153" width="10.7109375" style="21" customWidth="1"/>
    <col min="6154" max="6154" width="13.140625" style="21" customWidth="1"/>
    <col min="6155" max="6155" width="10.7109375" style="21" customWidth="1"/>
    <col min="6156" max="6156" width="56.5703125" style="21" bestFit="1" customWidth="1"/>
    <col min="6157" max="6157" width="11.140625" style="21" customWidth="1"/>
    <col min="6158" max="6158" width="13.42578125" style="21" bestFit="1" customWidth="1"/>
    <col min="6159" max="6400" width="11.140625" style="21"/>
    <col min="6401" max="6401" width="3.85546875" style="21" customWidth="1"/>
    <col min="6402" max="6402" width="14.7109375" style="21" customWidth="1"/>
    <col min="6403" max="6409" width="10.7109375" style="21" customWidth="1"/>
    <col min="6410" max="6410" width="13.140625" style="21" customWidth="1"/>
    <col min="6411" max="6411" width="10.7109375" style="21" customWidth="1"/>
    <col min="6412" max="6412" width="56.5703125" style="21" bestFit="1" customWidth="1"/>
    <col min="6413" max="6413" width="11.140625" style="21" customWidth="1"/>
    <col min="6414" max="6414" width="13.42578125" style="21" bestFit="1" customWidth="1"/>
    <col min="6415" max="6656" width="11.140625" style="21"/>
    <col min="6657" max="6657" width="3.85546875" style="21" customWidth="1"/>
    <col min="6658" max="6658" width="14.7109375" style="21" customWidth="1"/>
    <col min="6659" max="6665" width="10.7109375" style="21" customWidth="1"/>
    <col min="6666" max="6666" width="13.140625" style="21" customWidth="1"/>
    <col min="6667" max="6667" width="10.7109375" style="21" customWidth="1"/>
    <col min="6668" max="6668" width="56.5703125" style="21" bestFit="1" customWidth="1"/>
    <col min="6669" max="6669" width="11.140625" style="21" customWidth="1"/>
    <col min="6670" max="6670" width="13.42578125" style="21" bestFit="1" customWidth="1"/>
    <col min="6671" max="6912" width="11.140625" style="21"/>
    <col min="6913" max="6913" width="3.85546875" style="21" customWidth="1"/>
    <col min="6914" max="6914" width="14.7109375" style="21" customWidth="1"/>
    <col min="6915" max="6921" width="10.7109375" style="21" customWidth="1"/>
    <col min="6922" max="6922" width="13.140625" style="21" customWidth="1"/>
    <col min="6923" max="6923" width="10.7109375" style="21" customWidth="1"/>
    <col min="6924" max="6924" width="56.5703125" style="21" bestFit="1" customWidth="1"/>
    <col min="6925" max="6925" width="11.140625" style="21" customWidth="1"/>
    <col min="6926" max="6926" width="13.42578125" style="21" bestFit="1" customWidth="1"/>
    <col min="6927" max="7168" width="11.140625" style="21"/>
    <col min="7169" max="7169" width="3.85546875" style="21" customWidth="1"/>
    <col min="7170" max="7170" width="14.7109375" style="21" customWidth="1"/>
    <col min="7171" max="7177" width="10.7109375" style="21" customWidth="1"/>
    <col min="7178" max="7178" width="13.140625" style="21" customWidth="1"/>
    <col min="7179" max="7179" width="10.7109375" style="21" customWidth="1"/>
    <col min="7180" max="7180" width="56.5703125" style="21" bestFit="1" customWidth="1"/>
    <col min="7181" max="7181" width="11.140625" style="21" customWidth="1"/>
    <col min="7182" max="7182" width="13.42578125" style="21" bestFit="1" customWidth="1"/>
    <col min="7183" max="7424" width="11.140625" style="21"/>
    <col min="7425" max="7425" width="3.85546875" style="21" customWidth="1"/>
    <col min="7426" max="7426" width="14.7109375" style="21" customWidth="1"/>
    <col min="7427" max="7433" width="10.7109375" style="21" customWidth="1"/>
    <col min="7434" max="7434" width="13.140625" style="21" customWidth="1"/>
    <col min="7435" max="7435" width="10.7109375" style="21" customWidth="1"/>
    <col min="7436" max="7436" width="56.5703125" style="21" bestFit="1" customWidth="1"/>
    <col min="7437" max="7437" width="11.140625" style="21" customWidth="1"/>
    <col min="7438" max="7438" width="13.42578125" style="21" bestFit="1" customWidth="1"/>
    <col min="7439" max="7680" width="11.140625" style="21"/>
    <col min="7681" max="7681" width="3.85546875" style="21" customWidth="1"/>
    <col min="7682" max="7682" width="14.7109375" style="21" customWidth="1"/>
    <col min="7683" max="7689" width="10.7109375" style="21" customWidth="1"/>
    <col min="7690" max="7690" width="13.140625" style="21" customWidth="1"/>
    <col min="7691" max="7691" width="10.7109375" style="21" customWidth="1"/>
    <col min="7692" max="7692" width="56.5703125" style="21" bestFit="1" customWidth="1"/>
    <col min="7693" max="7693" width="11.140625" style="21" customWidth="1"/>
    <col min="7694" max="7694" width="13.42578125" style="21" bestFit="1" customWidth="1"/>
    <col min="7695" max="7936" width="11.140625" style="21"/>
    <col min="7937" max="7937" width="3.85546875" style="21" customWidth="1"/>
    <col min="7938" max="7938" width="14.7109375" style="21" customWidth="1"/>
    <col min="7939" max="7945" width="10.7109375" style="21" customWidth="1"/>
    <col min="7946" max="7946" width="13.140625" style="21" customWidth="1"/>
    <col min="7947" max="7947" width="10.7109375" style="21" customWidth="1"/>
    <col min="7948" max="7948" width="56.5703125" style="21" bestFit="1" customWidth="1"/>
    <col min="7949" max="7949" width="11.140625" style="21" customWidth="1"/>
    <col min="7950" max="7950" width="13.42578125" style="21" bestFit="1" customWidth="1"/>
    <col min="7951" max="8192" width="11.140625" style="21"/>
    <col min="8193" max="8193" width="3.85546875" style="21" customWidth="1"/>
    <col min="8194" max="8194" width="14.7109375" style="21" customWidth="1"/>
    <col min="8195" max="8201" width="10.7109375" style="21" customWidth="1"/>
    <col min="8202" max="8202" width="13.140625" style="21" customWidth="1"/>
    <col min="8203" max="8203" width="10.7109375" style="21" customWidth="1"/>
    <col min="8204" max="8204" width="56.5703125" style="21" bestFit="1" customWidth="1"/>
    <col min="8205" max="8205" width="11.140625" style="21" customWidth="1"/>
    <col min="8206" max="8206" width="13.42578125" style="21" bestFit="1" customWidth="1"/>
    <col min="8207" max="8448" width="11.140625" style="21"/>
    <col min="8449" max="8449" width="3.85546875" style="21" customWidth="1"/>
    <col min="8450" max="8450" width="14.7109375" style="21" customWidth="1"/>
    <col min="8451" max="8457" width="10.7109375" style="21" customWidth="1"/>
    <col min="8458" max="8458" width="13.140625" style="21" customWidth="1"/>
    <col min="8459" max="8459" width="10.7109375" style="21" customWidth="1"/>
    <col min="8460" max="8460" width="56.5703125" style="21" bestFit="1" customWidth="1"/>
    <col min="8461" max="8461" width="11.140625" style="21" customWidth="1"/>
    <col min="8462" max="8462" width="13.42578125" style="21" bestFit="1" customWidth="1"/>
    <col min="8463" max="8704" width="11.140625" style="21"/>
    <col min="8705" max="8705" width="3.85546875" style="21" customWidth="1"/>
    <col min="8706" max="8706" width="14.7109375" style="21" customWidth="1"/>
    <col min="8707" max="8713" width="10.7109375" style="21" customWidth="1"/>
    <col min="8714" max="8714" width="13.140625" style="21" customWidth="1"/>
    <col min="8715" max="8715" width="10.7109375" style="21" customWidth="1"/>
    <col min="8716" max="8716" width="56.5703125" style="21" bestFit="1" customWidth="1"/>
    <col min="8717" max="8717" width="11.140625" style="21" customWidth="1"/>
    <col min="8718" max="8718" width="13.42578125" style="21" bestFit="1" customWidth="1"/>
    <col min="8719" max="8960" width="11.140625" style="21"/>
    <col min="8961" max="8961" width="3.85546875" style="21" customWidth="1"/>
    <col min="8962" max="8962" width="14.7109375" style="21" customWidth="1"/>
    <col min="8963" max="8969" width="10.7109375" style="21" customWidth="1"/>
    <col min="8970" max="8970" width="13.140625" style="21" customWidth="1"/>
    <col min="8971" max="8971" width="10.7109375" style="21" customWidth="1"/>
    <col min="8972" max="8972" width="56.5703125" style="21" bestFit="1" customWidth="1"/>
    <col min="8973" max="8973" width="11.140625" style="21" customWidth="1"/>
    <col min="8974" max="8974" width="13.42578125" style="21" bestFit="1" customWidth="1"/>
    <col min="8975" max="9216" width="11.140625" style="21"/>
    <col min="9217" max="9217" width="3.85546875" style="21" customWidth="1"/>
    <col min="9218" max="9218" width="14.7109375" style="21" customWidth="1"/>
    <col min="9219" max="9225" width="10.7109375" style="21" customWidth="1"/>
    <col min="9226" max="9226" width="13.140625" style="21" customWidth="1"/>
    <col min="9227" max="9227" width="10.7109375" style="21" customWidth="1"/>
    <col min="9228" max="9228" width="56.5703125" style="21" bestFit="1" customWidth="1"/>
    <col min="9229" max="9229" width="11.140625" style="21" customWidth="1"/>
    <col min="9230" max="9230" width="13.42578125" style="21" bestFit="1" customWidth="1"/>
    <col min="9231" max="9472" width="11.140625" style="21"/>
    <col min="9473" max="9473" width="3.85546875" style="21" customWidth="1"/>
    <col min="9474" max="9474" width="14.7109375" style="21" customWidth="1"/>
    <col min="9475" max="9481" width="10.7109375" style="21" customWidth="1"/>
    <col min="9482" max="9482" width="13.140625" style="21" customWidth="1"/>
    <col min="9483" max="9483" width="10.7109375" style="21" customWidth="1"/>
    <col min="9484" max="9484" width="56.5703125" style="21" bestFit="1" customWidth="1"/>
    <col min="9485" max="9485" width="11.140625" style="21" customWidth="1"/>
    <col min="9486" max="9486" width="13.42578125" style="21" bestFit="1" customWidth="1"/>
    <col min="9487" max="9728" width="11.140625" style="21"/>
    <col min="9729" max="9729" width="3.85546875" style="21" customWidth="1"/>
    <col min="9730" max="9730" width="14.7109375" style="21" customWidth="1"/>
    <col min="9731" max="9737" width="10.7109375" style="21" customWidth="1"/>
    <col min="9738" max="9738" width="13.140625" style="21" customWidth="1"/>
    <col min="9739" max="9739" width="10.7109375" style="21" customWidth="1"/>
    <col min="9740" max="9740" width="56.5703125" style="21" bestFit="1" customWidth="1"/>
    <col min="9741" max="9741" width="11.140625" style="21" customWidth="1"/>
    <col min="9742" max="9742" width="13.42578125" style="21" bestFit="1" customWidth="1"/>
    <col min="9743" max="9984" width="11.140625" style="21"/>
    <col min="9985" max="9985" width="3.85546875" style="21" customWidth="1"/>
    <col min="9986" max="9986" width="14.7109375" style="21" customWidth="1"/>
    <col min="9987" max="9993" width="10.7109375" style="21" customWidth="1"/>
    <col min="9994" max="9994" width="13.140625" style="21" customWidth="1"/>
    <col min="9995" max="9995" width="10.7109375" style="21" customWidth="1"/>
    <col min="9996" max="9996" width="56.5703125" style="21" bestFit="1" customWidth="1"/>
    <col min="9997" max="9997" width="11.140625" style="21" customWidth="1"/>
    <col min="9998" max="9998" width="13.42578125" style="21" bestFit="1" customWidth="1"/>
    <col min="9999" max="10240" width="11.140625" style="21"/>
    <col min="10241" max="10241" width="3.85546875" style="21" customWidth="1"/>
    <col min="10242" max="10242" width="14.7109375" style="21" customWidth="1"/>
    <col min="10243" max="10249" width="10.7109375" style="21" customWidth="1"/>
    <col min="10250" max="10250" width="13.140625" style="21" customWidth="1"/>
    <col min="10251" max="10251" width="10.7109375" style="21" customWidth="1"/>
    <col min="10252" max="10252" width="56.5703125" style="21" bestFit="1" customWidth="1"/>
    <col min="10253" max="10253" width="11.140625" style="21" customWidth="1"/>
    <col min="10254" max="10254" width="13.42578125" style="21" bestFit="1" customWidth="1"/>
    <col min="10255" max="10496" width="11.140625" style="21"/>
    <col min="10497" max="10497" width="3.85546875" style="21" customWidth="1"/>
    <col min="10498" max="10498" width="14.7109375" style="21" customWidth="1"/>
    <col min="10499" max="10505" width="10.7109375" style="21" customWidth="1"/>
    <col min="10506" max="10506" width="13.140625" style="21" customWidth="1"/>
    <col min="10507" max="10507" width="10.7109375" style="21" customWidth="1"/>
    <col min="10508" max="10508" width="56.5703125" style="21" bestFit="1" customWidth="1"/>
    <col min="10509" max="10509" width="11.140625" style="21" customWidth="1"/>
    <col min="10510" max="10510" width="13.42578125" style="21" bestFit="1" customWidth="1"/>
    <col min="10511" max="10752" width="11.140625" style="21"/>
    <col min="10753" max="10753" width="3.85546875" style="21" customWidth="1"/>
    <col min="10754" max="10754" width="14.7109375" style="21" customWidth="1"/>
    <col min="10755" max="10761" width="10.7109375" style="21" customWidth="1"/>
    <col min="10762" max="10762" width="13.140625" style="21" customWidth="1"/>
    <col min="10763" max="10763" width="10.7109375" style="21" customWidth="1"/>
    <col min="10764" max="10764" width="56.5703125" style="21" bestFit="1" customWidth="1"/>
    <col min="10765" max="10765" width="11.140625" style="21" customWidth="1"/>
    <col min="10766" max="10766" width="13.42578125" style="21" bestFit="1" customWidth="1"/>
    <col min="10767" max="11008" width="11.140625" style="21"/>
    <col min="11009" max="11009" width="3.85546875" style="21" customWidth="1"/>
    <col min="11010" max="11010" width="14.7109375" style="21" customWidth="1"/>
    <col min="11011" max="11017" width="10.7109375" style="21" customWidth="1"/>
    <col min="11018" max="11018" width="13.140625" style="21" customWidth="1"/>
    <col min="11019" max="11019" width="10.7109375" style="21" customWidth="1"/>
    <col min="11020" max="11020" width="56.5703125" style="21" bestFit="1" customWidth="1"/>
    <col min="11021" max="11021" width="11.140625" style="21" customWidth="1"/>
    <col min="11022" max="11022" width="13.42578125" style="21" bestFit="1" customWidth="1"/>
    <col min="11023" max="11264" width="11.140625" style="21"/>
    <col min="11265" max="11265" width="3.85546875" style="21" customWidth="1"/>
    <col min="11266" max="11266" width="14.7109375" style="21" customWidth="1"/>
    <col min="11267" max="11273" width="10.7109375" style="21" customWidth="1"/>
    <col min="11274" max="11274" width="13.140625" style="21" customWidth="1"/>
    <col min="11275" max="11275" width="10.7109375" style="21" customWidth="1"/>
    <col min="11276" max="11276" width="56.5703125" style="21" bestFit="1" customWidth="1"/>
    <col min="11277" max="11277" width="11.140625" style="21" customWidth="1"/>
    <col min="11278" max="11278" width="13.42578125" style="21" bestFit="1" customWidth="1"/>
    <col min="11279" max="11520" width="11.140625" style="21"/>
    <col min="11521" max="11521" width="3.85546875" style="21" customWidth="1"/>
    <col min="11522" max="11522" width="14.7109375" style="21" customWidth="1"/>
    <col min="11523" max="11529" width="10.7109375" style="21" customWidth="1"/>
    <col min="11530" max="11530" width="13.140625" style="21" customWidth="1"/>
    <col min="11531" max="11531" width="10.7109375" style="21" customWidth="1"/>
    <col min="11532" max="11532" width="56.5703125" style="21" bestFit="1" customWidth="1"/>
    <col min="11533" max="11533" width="11.140625" style="21" customWidth="1"/>
    <col min="11534" max="11534" width="13.42578125" style="21" bestFit="1" customWidth="1"/>
    <col min="11535" max="11776" width="11.140625" style="21"/>
    <col min="11777" max="11777" width="3.85546875" style="21" customWidth="1"/>
    <col min="11778" max="11778" width="14.7109375" style="21" customWidth="1"/>
    <col min="11779" max="11785" width="10.7109375" style="21" customWidth="1"/>
    <col min="11786" max="11786" width="13.140625" style="21" customWidth="1"/>
    <col min="11787" max="11787" width="10.7109375" style="21" customWidth="1"/>
    <col min="11788" max="11788" width="56.5703125" style="21" bestFit="1" customWidth="1"/>
    <col min="11789" max="11789" width="11.140625" style="21" customWidth="1"/>
    <col min="11790" max="11790" width="13.42578125" style="21" bestFit="1" customWidth="1"/>
    <col min="11791" max="12032" width="11.140625" style="21"/>
    <col min="12033" max="12033" width="3.85546875" style="21" customWidth="1"/>
    <col min="12034" max="12034" width="14.7109375" style="21" customWidth="1"/>
    <col min="12035" max="12041" width="10.7109375" style="21" customWidth="1"/>
    <col min="12042" max="12042" width="13.140625" style="21" customWidth="1"/>
    <col min="12043" max="12043" width="10.7109375" style="21" customWidth="1"/>
    <col min="12044" max="12044" width="56.5703125" style="21" bestFit="1" customWidth="1"/>
    <col min="12045" max="12045" width="11.140625" style="21" customWidth="1"/>
    <col min="12046" max="12046" width="13.42578125" style="21" bestFit="1" customWidth="1"/>
    <col min="12047" max="12288" width="11.140625" style="21"/>
    <col min="12289" max="12289" width="3.85546875" style="21" customWidth="1"/>
    <col min="12290" max="12290" width="14.7109375" style="21" customWidth="1"/>
    <col min="12291" max="12297" width="10.7109375" style="21" customWidth="1"/>
    <col min="12298" max="12298" width="13.140625" style="21" customWidth="1"/>
    <col min="12299" max="12299" width="10.7109375" style="21" customWidth="1"/>
    <col min="12300" max="12300" width="56.5703125" style="21" bestFit="1" customWidth="1"/>
    <col min="12301" max="12301" width="11.140625" style="21" customWidth="1"/>
    <col min="12302" max="12302" width="13.42578125" style="21" bestFit="1" customWidth="1"/>
    <col min="12303" max="12544" width="11.140625" style="21"/>
    <col min="12545" max="12545" width="3.85546875" style="21" customWidth="1"/>
    <col min="12546" max="12546" width="14.7109375" style="21" customWidth="1"/>
    <col min="12547" max="12553" width="10.7109375" style="21" customWidth="1"/>
    <col min="12554" max="12554" width="13.140625" style="21" customWidth="1"/>
    <col min="12555" max="12555" width="10.7109375" style="21" customWidth="1"/>
    <col min="12556" max="12556" width="56.5703125" style="21" bestFit="1" customWidth="1"/>
    <col min="12557" max="12557" width="11.140625" style="21" customWidth="1"/>
    <col min="12558" max="12558" width="13.42578125" style="21" bestFit="1" customWidth="1"/>
    <col min="12559" max="12800" width="11.140625" style="21"/>
    <col min="12801" max="12801" width="3.85546875" style="21" customWidth="1"/>
    <col min="12802" max="12802" width="14.7109375" style="21" customWidth="1"/>
    <col min="12803" max="12809" width="10.7109375" style="21" customWidth="1"/>
    <col min="12810" max="12810" width="13.140625" style="21" customWidth="1"/>
    <col min="12811" max="12811" width="10.7109375" style="21" customWidth="1"/>
    <col min="12812" max="12812" width="56.5703125" style="21" bestFit="1" customWidth="1"/>
    <col min="12813" max="12813" width="11.140625" style="21" customWidth="1"/>
    <col min="12814" max="12814" width="13.42578125" style="21" bestFit="1" customWidth="1"/>
    <col min="12815" max="13056" width="11.140625" style="21"/>
    <col min="13057" max="13057" width="3.85546875" style="21" customWidth="1"/>
    <col min="13058" max="13058" width="14.7109375" style="21" customWidth="1"/>
    <col min="13059" max="13065" width="10.7109375" style="21" customWidth="1"/>
    <col min="13066" max="13066" width="13.140625" style="21" customWidth="1"/>
    <col min="13067" max="13067" width="10.7109375" style="21" customWidth="1"/>
    <col min="13068" max="13068" width="56.5703125" style="21" bestFit="1" customWidth="1"/>
    <col min="13069" max="13069" width="11.140625" style="21" customWidth="1"/>
    <col min="13070" max="13070" width="13.42578125" style="21" bestFit="1" customWidth="1"/>
    <col min="13071" max="13312" width="11.140625" style="21"/>
    <col min="13313" max="13313" width="3.85546875" style="21" customWidth="1"/>
    <col min="13314" max="13314" width="14.7109375" style="21" customWidth="1"/>
    <col min="13315" max="13321" width="10.7109375" style="21" customWidth="1"/>
    <col min="13322" max="13322" width="13.140625" style="21" customWidth="1"/>
    <col min="13323" max="13323" width="10.7109375" style="21" customWidth="1"/>
    <col min="13324" max="13324" width="56.5703125" style="21" bestFit="1" customWidth="1"/>
    <col min="13325" max="13325" width="11.140625" style="21" customWidth="1"/>
    <col min="13326" max="13326" width="13.42578125" style="21" bestFit="1" customWidth="1"/>
    <col min="13327" max="13568" width="11.140625" style="21"/>
    <col min="13569" max="13569" width="3.85546875" style="21" customWidth="1"/>
    <col min="13570" max="13570" width="14.7109375" style="21" customWidth="1"/>
    <col min="13571" max="13577" width="10.7109375" style="21" customWidth="1"/>
    <col min="13578" max="13578" width="13.140625" style="21" customWidth="1"/>
    <col min="13579" max="13579" width="10.7109375" style="21" customWidth="1"/>
    <col min="13580" max="13580" width="56.5703125" style="21" bestFit="1" customWidth="1"/>
    <col min="13581" max="13581" width="11.140625" style="21" customWidth="1"/>
    <col min="13582" max="13582" width="13.42578125" style="21" bestFit="1" customWidth="1"/>
    <col min="13583" max="13824" width="11.140625" style="21"/>
    <col min="13825" max="13825" width="3.85546875" style="21" customWidth="1"/>
    <col min="13826" max="13826" width="14.7109375" style="21" customWidth="1"/>
    <col min="13827" max="13833" width="10.7109375" style="21" customWidth="1"/>
    <col min="13834" max="13834" width="13.140625" style="21" customWidth="1"/>
    <col min="13835" max="13835" width="10.7109375" style="21" customWidth="1"/>
    <col min="13836" max="13836" width="56.5703125" style="21" bestFit="1" customWidth="1"/>
    <col min="13837" max="13837" width="11.140625" style="21" customWidth="1"/>
    <col min="13838" max="13838" width="13.42578125" style="21" bestFit="1" customWidth="1"/>
    <col min="13839" max="14080" width="11.140625" style="21"/>
    <col min="14081" max="14081" width="3.85546875" style="21" customWidth="1"/>
    <col min="14082" max="14082" width="14.7109375" style="21" customWidth="1"/>
    <col min="14083" max="14089" width="10.7109375" style="21" customWidth="1"/>
    <col min="14090" max="14090" width="13.140625" style="21" customWidth="1"/>
    <col min="14091" max="14091" width="10.7109375" style="21" customWidth="1"/>
    <col min="14092" max="14092" width="56.5703125" style="21" bestFit="1" customWidth="1"/>
    <col min="14093" max="14093" width="11.140625" style="21" customWidth="1"/>
    <col min="14094" max="14094" width="13.42578125" style="21" bestFit="1" customWidth="1"/>
    <col min="14095" max="14336" width="11.140625" style="21"/>
    <col min="14337" max="14337" width="3.85546875" style="21" customWidth="1"/>
    <col min="14338" max="14338" width="14.7109375" style="21" customWidth="1"/>
    <col min="14339" max="14345" width="10.7109375" style="21" customWidth="1"/>
    <col min="14346" max="14346" width="13.140625" style="21" customWidth="1"/>
    <col min="14347" max="14347" width="10.7109375" style="21" customWidth="1"/>
    <col min="14348" max="14348" width="56.5703125" style="21" bestFit="1" customWidth="1"/>
    <col min="14349" max="14349" width="11.140625" style="21" customWidth="1"/>
    <col min="14350" max="14350" width="13.42578125" style="21" bestFit="1" customWidth="1"/>
    <col min="14351" max="14592" width="11.140625" style="21"/>
    <col min="14593" max="14593" width="3.85546875" style="21" customWidth="1"/>
    <col min="14594" max="14594" width="14.7109375" style="21" customWidth="1"/>
    <col min="14595" max="14601" width="10.7109375" style="21" customWidth="1"/>
    <col min="14602" max="14602" width="13.140625" style="21" customWidth="1"/>
    <col min="14603" max="14603" width="10.7109375" style="21" customWidth="1"/>
    <col min="14604" max="14604" width="56.5703125" style="21" bestFit="1" customWidth="1"/>
    <col min="14605" max="14605" width="11.140625" style="21" customWidth="1"/>
    <col min="14606" max="14606" width="13.42578125" style="21" bestFit="1" customWidth="1"/>
    <col min="14607" max="14848" width="11.140625" style="21"/>
    <col min="14849" max="14849" width="3.85546875" style="21" customWidth="1"/>
    <col min="14850" max="14850" width="14.7109375" style="21" customWidth="1"/>
    <col min="14851" max="14857" width="10.7109375" style="21" customWidth="1"/>
    <col min="14858" max="14858" width="13.140625" style="21" customWidth="1"/>
    <col min="14859" max="14859" width="10.7109375" style="21" customWidth="1"/>
    <col min="14860" max="14860" width="56.5703125" style="21" bestFit="1" customWidth="1"/>
    <col min="14861" max="14861" width="11.140625" style="21" customWidth="1"/>
    <col min="14862" max="14862" width="13.42578125" style="21" bestFit="1" customWidth="1"/>
    <col min="14863" max="15104" width="11.140625" style="21"/>
    <col min="15105" max="15105" width="3.85546875" style="21" customWidth="1"/>
    <col min="15106" max="15106" width="14.7109375" style="21" customWidth="1"/>
    <col min="15107" max="15113" width="10.7109375" style="21" customWidth="1"/>
    <col min="15114" max="15114" width="13.140625" style="21" customWidth="1"/>
    <col min="15115" max="15115" width="10.7109375" style="21" customWidth="1"/>
    <col min="15116" max="15116" width="56.5703125" style="21" bestFit="1" customWidth="1"/>
    <col min="15117" max="15117" width="11.140625" style="21" customWidth="1"/>
    <col min="15118" max="15118" width="13.42578125" style="21" bestFit="1" customWidth="1"/>
    <col min="15119" max="15360" width="11.140625" style="21"/>
    <col min="15361" max="15361" width="3.85546875" style="21" customWidth="1"/>
    <col min="15362" max="15362" width="14.7109375" style="21" customWidth="1"/>
    <col min="15363" max="15369" width="10.7109375" style="21" customWidth="1"/>
    <col min="15370" max="15370" width="13.140625" style="21" customWidth="1"/>
    <col min="15371" max="15371" width="10.7109375" style="21" customWidth="1"/>
    <col min="15372" max="15372" width="56.5703125" style="21" bestFit="1" customWidth="1"/>
    <col min="15373" max="15373" width="11.140625" style="21" customWidth="1"/>
    <col min="15374" max="15374" width="13.42578125" style="21" bestFit="1" customWidth="1"/>
    <col min="15375" max="15616" width="11.140625" style="21"/>
    <col min="15617" max="15617" width="3.85546875" style="21" customWidth="1"/>
    <col min="15618" max="15618" width="14.7109375" style="21" customWidth="1"/>
    <col min="15619" max="15625" width="10.7109375" style="21" customWidth="1"/>
    <col min="15626" max="15626" width="13.140625" style="21" customWidth="1"/>
    <col min="15627" max="15627" width="10.7109375" style="21" customWidth="1"/>
    <col min="15628" max="15628" width="56.5703125" style="21" bestFit="1" customWidth="1"/>
    <col min="15629" max="15629" width="11.140625" style="21" customWidth="1"/>
    <col min="15630" max="15630" width="13.42578125" style="21" bestFit="1" customWidth="1"/>
    <col min="15631" max="15872" width="11.140625" style="21"/>
    <col min="15873" max="15873" width="3.85546875" style="21" customWidth="1"/>
    <col min="15874" max="15874" width="14.7109375" style="21" customWidth="1"/>
    <col min="15875" max="15881" width="10.7109375" style="21" customWidth="1"/>
    <col min="15882" max="15882" width="13.140625" style="21" customWidth="1"/>
    <col min="15883" max="15883" width="10.7109375" style="21" customWidth="1"/>
    <col min="15884" max="15884" width="56.5703125" style="21" bestFit="1" customWidth="1"/>
    <col min="15885" max="15885" width="11.140625" style="21" customWidth="1"/>
    <col min="15886" max="15886" width="13.42578125" style="21" bestFit="1" customWidth="1"/>
    <col min="15887" max="16128" width="11.140625" style="21"/>
    <col min="16129" max="16129" width="3.85546875" style="21" customWidth="1"/>
    <col min="16130" max="16130" width="14.7109375" style="21" customWidth="1"/>
    <col min="16131" max="16137" width="10.7109375" style="21" customWidth="1"/>
    <col min="16138" max="16138" width="13.140625" style="21" customWidth="1"/>
    <col min="16139" max="16139" width="10.7109375" style="21" customWidth="1"/>
    <col min="16140" max="16140" width="56.5703125" style="21" bestFit="1" customWidth="1"/>
    <col min="16141" max="16141" width="11.140625" style="21" customWidth="1"/>
    <col min="16142" max="16142" width="13.42578125" style="21" bestFit="1" customWidth="1"/>
    <col min="16143" max="16384" width="11.140625" style="21"/>
  </cols>
  <sheetData>
    <row r="1" spans="1:17" s="257" customFormat="1">
      <c r="A1" s="256" t="s">
        <v>145</v>
      </c>
    </row>
    <row r="2" spans="1:17" s="257" customFormat="1"/>
    <row r="3" spans="1:17" s="258" customFormat="1">
      <c r="A3" s="258" t="s">
        <v>146</v>
      </c>
    </row>
    <row r="4" spans="1:17" s="258" customFormat="1">
      <c r="A4" s="258" t="s">
        <v>147</v>
      </c>
    </row>
    <row r="6" spans="1:17" ht="21" thickBot="1">
      <c r="A6" s="22" t="s">
        <v>0</v>
      </c>
      <c r="B6" s="23"/>
      <c r="C6" s="22"/>
      <c r="D6" s="22"/>
      <c r="E6" s="22"/>
      <c r="F6" s="22"/>
      <c r="G6" s="22"/>
      <c r="H6" s="22"/>
      <c r="I6" s="22"/>
      <c r="J6" s="22"/>
      <c r="K6" s="22"/>
      <c r="L6" s="24" t="s">
        <v>1</v>
      </c>
      <c r="M6" s="21" t="s">
        <v>2</v>
      </c>
    </row>
    <row r="7" spans="1:17" ht="30.75" customHeight="1" thickTop="1" thickBot="1">
      <c r="A7" s="25"/>
      <c r="B7" s="26" t="s">
        <v>3</v>
      </c>
      <c r="C7" s="2"/>
      <c r="D7" s="27"/>
      <c r="E7" s="27"/>
      <c r="F7" s="28"/>
      <c r="G7" s="278"/>
      <c r="H7" s="279"/>
      <c r="I7" s="282"/>
      <c r="J7" s="283"/>
      <c r="K7" s="284"/>
      <c r="L7" s="29" t="s">
        <v>4</v>
      </c>
      <c r="M7" s="21">
        <v>375.33333333333331</v>
      </c>
    </row>
    <row r="8" spans="1:17" ht="18.75" thickTop="1">
      <c r="A8" s="22"/>
      <c r="B8" s="30" t="s">
        <v>5</v>
      </c>
      <c r="C8" s="3"/>
      <c r="D8" s="31"/>
      <c r="E8" s="32"/>
      <c r="F8" s="33"/>
      <c r="G8" s="280"/>
      <c r="H8" s="281"/>
      <c r="I8" s="34" t="s">
        <v>6</v>
      </c>
      <c r="J8" s="35" t="s">
        <v>7</v>
      </c>
      <c r="K8" s="36" t="s">
        <v>8</v>
      </c>
      <c r="L8" s="37" t="s">
        <v>9</v>
      </c>
      <c r="M8" s="21">
        <v>1126</v>
      </c>
      <c r="O8" s="38" t="s">
        <v>10</v>
      </c>
      <c r="P8" s="39">
        <v>119405.61440420231</v>
      </c>
      <c r="Q8" s="40">
        <v>104570.64901564219</v>
      </c>
    </row>
    <row r="9" spans="1:17" ht="19.5" customHeight="1">
      <c r="A9" s="22"/>
      <c r="B9" s="30" t="s">
        <v>11</v>
      </c>
      <c r="D9" s="4"/>
      <c r="E9" s="32"/>
      <c r="F9" s="33"/>
      <c r="G9" s="285" t="s">
        <v>12</v>
      </c>
      <c r="H9" s="286"/>
      <c r="I9" s="5"/>
      <c r="J9" s="6">
        <f ca="1">TODAY()</f>
        <v>43070</v>
      </c>
      <c r="K9" s="7"/>
      <c r="L9" s="29" t="s">
        <v>13</v>
      </c>
      <c r="O9" s="38" t="s">
        <v>14</v>
      </c>
      <c r="P9" s="40">
        <v>643</v>
      </c>
      <c r="Q9" s="40">
        <v>563</v>
      </c>
    </row>
    <row r="10" spans="1:17" ht="18">
      <c r="A10" s="22"/>
      <c r="B10" s="41"/>
      <c r="C10" s="34"/>
      <c r="D10" s="42"/>
      <c r="E10" s="43"/>
      <c r="F10" s="44"/>
      <c r="G10" s="285"/>
      <c r="H10" s="286"/>
      <c r="I10" s="34" t="s">
        <v>15</v>
      </c>
      <c r="J10" s="45" t="s">
        <v>16</v>
      </c>
      <c r="K10" s="36" t="s">
        <v>17</v>
      </c>
      <c r="L10" s="287" t="s">
        <v>18</v>
      </c>
    </row>
    <row r="11" spans="1:17" ht="18.75" thickBot="1">
      <c r="A11" s="22"/>
      <c r="B11" s="46"/>
      <c r="C11" s="47"/>
      <c r="D11" s="47"/>
      <c r="E11" s="48"/>
      <c r="F11" s="49"/>
      <c r="G11" s="49"/>
      <c r="H11" s="50"/>
      <c r="I11" s="8" t="s">
        <v>19</v>
      </c>
      <c r="J11" s="9" t="s">
        <v>19</v>
      </c>
      <c r="K11" s="10"/>
      <c r="L11" s="288"/>
    </row>
    <row r="12" spans="1:17" ht="20.25" customHeight="1" thickTop="1">
      <c r="A12" s="51"/>
      <c r="B12" s="52"/>
      <c r="C12" s="53"/>
      <c r="F12" s="54"/>
      <c r="G12" s="54"/>
      <c r="H12" s="54"/>
      <c r="I12" s="54"/>
      <c r="J12" s="54"/>
      <c r="K12" s="55"/>
      <c r="L12" s="56"/>
    </row>
    <row r="13" spans="1:17" ht="18">
      <c r="A13" s="51"/>
      <c r="B13" s="57" t="s">
        <v>20</v>
      </c>
      <c r="C13" s="58"/>
      <c r="D13" s="289" t="s">
        <v>21</v>
      </c>
      <c r="E13" s="289"/>
      <c r="F13" s="54"/>
      <c r="G13" s="54"/>
      <c r="H13" s="54"/>
      <c r="I13" s="54"/>
      <c r="J13" s="59"/>
      <c r="K13" s="55"/>
      <c r="L13" s="19" t="s">
        <v>142</v>
      </c>
      <c r="M13" s="21">
        <v>200</v>
      </c>
    </row>
    <row r="14" spans="1:17" ht="18.75">
      <c r="A14" s="51"/>
      <c r="B14" s="290" t="s">
        <v>22</v>
      </c>
      <c r="C14" s="289"/>
      <c r="D14" s="60" t="s">
        <v>23</v>
      </c>
      <c r="E14" s="11">
        <v>350</v>
      </c>
      <c r="F14" s="54"/>
      <c r="G14" s="54"/>
      <c r="H14" s="54"/>
      <c r="I14" s="54"/>
      <c r="J14" s="54"/>
      <c r="K14" s="55"/>
      <c r="L14" s="20" t="s">
        <v>143</v>
      </c>
    </row>
    <row r="15" spans="1:17" ht="18">
      <c r="A15" s="51"/>
      <c r="B15" s="61" t="s">
        <v>24</v>
      </c>
      <c r="C15" s="11">
        <v>300</v>
      </c>
      <c r="D15" s="60" t="s">
        <v>25</v>
      </c>
      <c r="E15" s="11">
        <v>1300</v>
      </c>
      <c r="F15" s="54"/>
      <c r="G15" s="54"/>
      <c r="H15" s="54"/>
      <c r="I15" s="54"/>
      <c r="J15" s="54"/>
      <c r="K15" s="62"/>
      <c r="L15" s="19" t="s">
        <v>144</v>
      </c>
    </row>
    <row r="16" spans="1:17" ht="20.25">
      <c r="A16" s="51"/>
      <c r="B16" s="63" t="s">
        <v>26</v>
      </c>
      <c r="C16" s="11">
        <v>300</v>
      </c>
      <c r="D16" s="60" t="s">
        <v>27</v>
      </c>
      <c r="E16" s="11">
        <f>M8</f>
        <v>1126</v>
      </c>
      <c r="F16" s="64"/>
      <c r="G16" s="64"/>
      <c r="H16" s="65"/>
      <c r="I16" s="54"/>
      <c r="J16" s="54"/>
      <c r="K16" s="62"/>
      <c r="L16" s="12" t="s">
        <v>145</v>
      </c>
    </row>
    <row r="17" spans="1:17" ht="18">
      <c r="A17" s="51"/>
      <c r="B17" s="66"/>
      <c r="C17" s="54"/>
      <c r="D17" s="60" t="s">
        <v>28</v>
      </c>
      <c r="E17" s="11">
        <f>M7</f>
        <v>375.33333333333331</v>
      </c>
      <c r="F17" s="54"/>
      <c r="G17" s="54"/>
      <c r="H17" s="54"/>
      <c r="I17" s="54"/>
      <c r="J17" s="54"/>
      <c r="K17" s="55"/>
      <c r="L17" s="67"/>
    </row>
    <row r="18" spans="1:17" ht="18">
      <c r="A18" s="51"/>
      <c r="B18" s="68" t="s">
        <v>29</v>
      </c>
      <c r="C18" s="58">
        <f>[1]DOUBLE!C17</f>
        <v>375</v>
      </c>
      <c r="D18" s="69" t="s">
        <v>30</v>
      </c>
      <c r="E18" s="11">
        <v>400</v>
      </c>
      <c r="F18" s="54"/>
      <c r="G18" s="54"/>
      <c r="H18" s="54"/>
      <c r="I18" s="54"/>
      <c r="J18" s="54"/>
      <c r="K18" s="55"/>
      <c r="L18" s="70"/>
    </row>
    <row r="19" spans="1:17" ht="18">
      <c r="A19" s="51"/>
      <c r="B19" s="68" t="s">
        <v>31</v>
      </c>
      <c r="C19" s="11">
        <v>1300</v>
      </c>
      <c r="D19" s="54"/>
      <c r="E19" s="54"/>
      <c r="F19" s="54"/>
      <c r="G19" s="54"/>
      <c r="H19" s="54"/>
      <c r="I19" s="54"/>
      <c r="J19" s="54"/>
      <c r="K19" s="55"/>
      <c r="L19" s="70"/>
      <c r="M19" s="21">
        <v>1300.1446073418142</v>
      </c>
    </row>
    <row r="20" spans="1:17" ht="18.75" customHeight="1">
      <c r="A20" s="51"/>
      <c r="B20" s="66"/>
      <c r="F20" s="71"/>
      <c r="K20" s="55"/>
      <c r="L20" s="70"/>
      <c r="N20" s="269" t="s">
        <v>32</v>
      </c>
      <c r="O20" s="270"/>
      <c r="P20" s="270"/>
      <c r="Q20" s="271"/>
    </row>
    <row r="21" spans="1:17" ht="18.75" customHeight="1">
      <c r="A21" s="51"/>
      <c r="B21" s="72" t="s">
        <v>33</v>
      </c>
      <c r="C21" s="54"/>
      <c r="D21" s="58"/>
      <c r="E21" s="54"/>
      <c r="F21" s="71"/>
      <c r="G21" s="73" t="s">
        <v>34</v>
      </c>
      <c r="H21" s="54"/>
      <c r="I21" s="74"/>
      <c r="J21" s="272" t="s">
        <v>35</v>
      </c>
      <c r="K21" s="273"/>
      <c r="L21" s="70"/>
      <c r="M21" s="38" t="s">
        <v>36</v>
      </c>
      <c r="N21" s="75">
        <v>5</v>
      </c>
      <c r="O21" s="76">
        <v>9</v>
      </c>
      <c r="P21" s="76" t="s">
        <v>37</v>
      </c>
      <c r="Q21" s="77" t="s">
        <v>38</v>
      </c>
    </row>
    <row r="22" spans="1:17" ht="18">
      <c r="A22" s="51"/>
      <c r="B22" s="78"/>
      <c r="C22" s="79" t="s">
        <v>39</v>
      </c>
      <c r="D22" s="79" t="s">
        <v>40</v>
      </c>
      <c r="E22" s="79" t="s">
        <v>41</v>
      </c>
      <c r="F22" s="54"/>
      <c r="H22" s="54"/>
      <c r="I22" s="71"/>
      <c r="K22" s="55"/>
      <c r="L22" s="80" t="str">
        <f>IF(M19&lt;C19,"PILE c/c LESS THAN MIN SPACING",".")</f>
        <v>.</v>
      </c>
      <c r="M22" s="38" t="s">
        <v>42</v>
      </c>
      <c r="N22" s="81">
        <v>6</v>
      </c>
      <c r="O22" s="82">
        <v>10</v>
      </c>
      <c r="P22" s="82" t="s">
        <v>43</v>
      </c>
      <c r="Q22" s="83" t="s">
        <v>44</v>
      </c>
    </row>
    <row r="23" spans="1:17" ht="19.5" customHeight="1">
      <c r="A23" s="51"/>
      <c r="B23" s="68" t="s">
        <v>45</v>
      </c>
      <c r="C23" s="13">
        <v>355.5</v>
      </c>
      <c r="D23" s="13">
        <v>118.2</v>
      </c>
      <c r="E23" s="13">
        <v>10</v>
      </c>
      <c r="F23" s="54"/>
      <c r="G23" s="84" t="s">
        <v>46</v>
      </c>
      <c r="H23" s="274" t="str">
        <f>IF(M36=0,"VALID DESIGN",N30&amp;N32&amp;N33&amp;M35&amp;N31)</f>
        <v>VALID DESIGN</v>
      </c>
      <c r="I23" s="274"/>
      <c r="J23" s="274"/>
      <c r="K23" s="275"/>
      <c r="L23" s="85" t="str">
        <f>"Recommened min H = "&amp;CEILING((MAX(SQRT(E15^2/4+E17^2),E16-E17)-MIN(C15:C16)/4)/2.5+[1]DOUBLE!G10+16,25)&amp;" mm"</f>
        <v>Recommened min H = 375 mm</v>
      </c>
      <c r="M23" s="38" t="s">
        <v>47</v>
      </c>
      <c r="N23" s="81">
        <v>7</v>
      </c>
      <c r="O23" s="82">
        <v>11</v>
      </c>
      <c r="P23" s="82" t="s">
        <v>48</v>
      </c>
      <c r="Q23" s="83" t="s">
        <v>49</v>
      </c>
    </row>
    <row r="24" spans="1:17" ht="18">
      <c r="A24" s="51"/>
      <c r="B24" s="68" t="s">
        <v>50</v>
      </c>
      <c r="C24" s="14">
        <v>10</v>
      </c>
      <c r="D24" s="14">
        <v>5</v>
      </c>
      <c r="E24" s="14">
        <v>2</v>
      </c>
      <c r="F24" s="86"/>
      <c r="G24" s="54"/>
      <c r="H24" s="274"/>
      <c r="I24" s="274"/>
      <c r="J24" s="274"/>
      <c r="K24" s="275"/>
      <c r="L24" s="87" t="s">
        <v>51</v>
      </c>
      <c r="M24" s="38" t="s">
        <v>47</v>
      </c>
      <c r="N24" s="88">
        <v>8</v>
      </c>
      <c r="O24" s="89">
        <v>12</v>
      </c>
      <c r="P24" s="89" t="s">
        <v>52</v>
      </c>
      <c r="Q24" s="90" t="s">
        <v>53</v>
      </c>
    </row>
    <row r="25" spans="1:17" ht="18">
      <c r="A25" s="51"/>
      <c r="B25" s="68" t="s">
        <v>54</v>
      </c>
      <c r="C25" s="15">
        <v>20</v>
      </c>
      <c r="D25" s="15">
        <v>10</v>
      </c>
      <c r="E25" s="15">
        <v>5</v>
      </c>
      <c r="F25" s="86"/>
      <c r="G25" s="65" t="s">
        <v>55</v>
      </c>
      <c r="H25" s="54"/>
      <c r="I25" s="54"/>
      <c r="J25" s="54"/>
      <c r="K25" s="55"/>
      <c r="L25" s="70"/>
    </row>
    <row r="26" spans="1:17" ht="18">
      <c r="A26" s="51"/>
      <c r="B26" s="91" t="s">
        <v>56</v>
      </c>
      <c r="C26" s="15">
        <v>0</v>
      </c>
      <c r="D26" s="15">
        <v>0</v>
      </c>
      <c r="E26" s="15">
        <v>0</v>
      </c>
      <c r="F26" s="86"/>
      <c r="G26" s="92"/>
      <c r="H26" s="79" t="s">
        <v>57</v>
      </c>
      <c r="I26" s="79" t="s">
        <v>58</v>
      </c>
      <c r="J26" s="79" t="s">
        <v>59</v>
      </c>
      <c r="K26" s="55"/>
      <c r="L26" s="87" t="s">
        <v>60</v>
      </c>
    </row>
    <row r="27" spans="1:17" ht="18">
      <c r="A27" s="51"/>
      <c r="B27" s="91" t="s">
        <v>61</v>
      </c>
      <c r="C27" s="16">
        <v>0</v>
      </c>
      <c r="D27" s="16">
        <v>0</v>
      </c>
      <c r="E27" s="16">
        <v>0</v>
      </c>
      <c r="F27" s="86"/>
      <c r="G27" s="60" t="s">
        <v>62</v>
      </c>
      <c r="H27" s="93">
        <f t="shared" ref="H27:J28" si="0">C57</f>
        <v>140.44559731912369</v>
      </c>
      <c r="I27" s="94">
        <f t="shared" si="0"/>
        <v>168.8716118019766</v>
      </c>
      <c r="J27" s="94">
        <f t="shared" si="0"/>
        <v>191.94853487889969</v>
      </c>
      <c r="K27" s="55"/>
      <c r="L27" s="87"/>
    </row>
    <row r="28" spans="1:17" ht="18">
      <c r="A28" s="51"/>
      <c r="B28" s="68"/>
      <c r="C28" s="17"/>
      <c r="D28" s="17"/>
      <c r="E28" s="17"/>
      <c r="F28" s="86"/>
      <c r="G28" s="68" t="s">
        <v>63</v>
      </c>
      <c r="H28" s="95">
        <f t="shared" si="0"/>
        <v>139.33843331675544</v>
      </c>
      <c r="I28" s="96">
        <f t="shared" si="0"/>
        <v>172.88673226469919</v>
      </c>
      <c r="J28" s="96">
        <f t="shared" si="0"/>
        <v>199.04057841854538</v>
      </c>
      <c r="K28" s="55"/>
      <c r="L28" s="87" t="s">
        <v>64</v>
      </c>
    </row>
    <row r="29" spans="1:17" ht="18">
      <c r="A29" s="51"/>
      <c r="B29" s="57" t="s">
        <v>65</v>
      </c>
      <c r="C29" s="54"/>
      <c r="D29" s="54"/>
      <c r="E29" s="54"/>
      <c r="F29" s="54"/>
      <c r="K29" s="55"/>
      <c r="L29" s="87" t="s">
        <v>66</v>
      </c>
      <c r="M29" s="97">
        <v>0</v>
      </c>
      <c r="N29" s="97"/>
    </row>
    <row r="30" spans="1:17" ht="18">
      <c r="A30" s="51"/>
      <c r="B30" s="98" t="s">
        <v>67</v>
      </c>
      <c r="C30" s="99" t="str">
        <f>"M = "&amp;FIXED(C70,1)&amp;" kNm,    b = "&amp;FIXED(C71,0)&amp;" mm"</f>
        <v>M = 172.5 kNm,    b = 1,050 mm</v>
      </c>
      <c r="F30" s="54"/>
      <c r="G30" s="100"/>
      <c r="H30" s="100"/>
      <c r="I30" s="100"/>
      <c r="J30" s="100"/>
      <c r="K30" s="55"/>
      <c r="L30" s="101" t="str">
        <f>IF(M29+M30&gt;0,"PILE CAPACITY EXCEEDED",".")</f>
        <v>.</v>
      </c>
      <c r="M30" s="97">
        <v>0</v>
      </c>
      <c r="N30" s="102" t="s">
        <v>68</v>
      </c>
    </row>
    <row r="31" spans="1:17" ht="18">
      <c r="A31" s="51"/>
      <c r="B31" s="68"/>
      <c r="C31" s="58" t="str">
        <f>"d = "&amp;FIXED(C72,1)&amp;" mm,    As = "&amp;FIXED(C75,0)&amp;" mm²"</f>
        <v>d = 307.0 mm,    As = 1,363 mm²</v>
      </c>
      <c r="D31" s="100"/>
      <c r="E31" s="100"/>
      <c r="G31" s="100"/>
      <c r="H31" s="103" t="str">
        <f>E88&amp;M6&amp;"12"&amp;P22&amp;"T1"</f>
        <v>3 T12 06 T1</v>
      </c>
      <c r="I31" s="104"/>
      <c r="J31" s="104"/>
      <c r="K31" s="55"/>
      <c r="L31" s="101" t="str">
        <f>IF(M31&gt;0,"PILE IN TENSION",".")</f>
        <v>.</v>
      </c>
      <c r="M31" s="105">
        <v>0</v>
      </c>
      <c r="N31" s="102" t="s">
        <v>68</v>
      </c>
    </row>
    <row r="32" spans="1:17" ht="18">
      <c r="A32" s="51"/>
      <c r="B32" s="68"/>
      <c r="C32" s="106"/>
      <c r="D32" s="107" t="str">
        <f>D82</f>
        <v>5 T20 B</v>
      </c>
      <c r="E32" s="108" t="str">
        <f>" = "&amp;FIXED(C78,0)&amp;" mm²"</f>
        <v xml:space="preserve"> = 1,571 mm²</v>
      </c>
      <c r="F32" s="100"/>
      <c r="G32" s="54"/>
      <c r="H32" s="109"/>
      <c r="I32" s="109"/>
      <c r="J32" s="109"/>
      <c r="K32" s="55"/>
      <c r="L32" s="101" t="str">
        <f>IF(M32=0,".","v &gt; vmax")</f>
        <v>.</v>
      </c>
      <c r="M32" s="105">
        <v>0</v>
      </c>
      <c r="N32" s="102" t="s">
        <v>68</v>
      </c>
    </row>
    <row r="33" spans="1:14" s="112" customFormat="1" ht="16.5">
      <c r="A33" s="51"/>
      <c r="B33" s="110"/>
      <c r="C33" s="111"/>
      <c r="G33" s="21"/>
      <c r="H33" s="109"/>
      <c r="I33" s="109"/>
      <c r="J33" s="109"/>
      <c r="K33" s="55"/>
      <c r="L33" s="113"/>
      <c r="M33" s="105">
        <v>0</v>
      </c>
      <c r="N33" s="114" t="s">
        <v>68</v>
      </c>
    </row>
    <row r="34" spans="1:14" ht="18">
      <c r="A34" s="51"/>
      <c r="B34" s="68"/>
      <c r="C34" s="99" t="str">
        <f>"V = "&amp;FIXED(C86,1)&amp;" kN,     bv = "&amp;FIXED(E86,0)&amp;" mm"</f>
        <v>V = 265.4 kN,     bv = 1,050 mm</v>
      </c>
      <c r="H34" s="115"/>
      <c r="I34" s="116" t="str">
        <f>C77&amp;M6&amp;D70&amp;P21&amp;"B1"</f>
        <v>5 T20 05 B1</v>
      </c>
      <c r="J34" s="116"/>
      <c r="K34" s="55"/>
      <c r="L34" s="101" t="str">
        <f>L80</f>
        <v>.</v>
      </c>
      <c r="M34" s="97">
        <v>0</v>
      </c>
      <c r="N34" s="114"/>
    </row>
    <row r="35" spans="1:14" ht="18">
      <c r="A35" s="51"/>
      <c r="B35" s="68"/>
      <c r="C35" s="117" t="str">
        <f>"v = "&amp;FIXED(E87,3)&amp;" N/mm²,   (v-vc)b = "&amp;FIXED(C88,0)&amp;" N/mm"</f>
        <v>v = 0.823 N/mm²,   (v-vc)b = 420 N/mm</v>
      </c>
      <c r="H35" s="115"/>
      <c r="I35" s="118" t="str">
        <f>"Links "&amp;2*[1]Graf!J51+[1]Graf!J50&amp;M6&amp;C85&amp;P23&amp;G88&amp;IF(E88&gt;2,M37,"")</f>
        <v>Links 12 T8 07 150 + 12 T8 08 150</v>
      </c>
      <c r="J35" s="119"/>
      <c r="K35" s="55"/>
      <c r="L35" s="120"/>
      <c r="M35" s="105">
        <v>0</v>
      </c>
      <c r="N35" s="102" t="s">
        <v>68</v>
      </c>
    </row>
    <row r="36" spans="1:14" ht="18">
      <c r="A36" s="51"/>
      <c r="B36" s="68"/>
      <c r="D36" s="107" t="str">
        <f>H88</f>
        <v>3 Legs T8 @ 150 LINKS</v>
      </c>
      <c r="E36" s="108" t="str">
        <f>" = "&amp;FIXED(M88,0)&amp;" N/mm"</f>
        <v xml:space="preserve"> = 440 N/mm</v>
      </c>
      <c r="H36" s="276" t="s">
        <v>69</v>
      </c>
      <c r="I36" s="277"/>
      <c r="J36" s="277"/>
      <c r="K36" s="55"/>
      <c r="L36" s="120"/>
      <c r="M36" s="121">
        <v>0</v>
      </c>
      <c r="N36" s="40"/>
    </row>
    <row r="37" spans="1:14" ht="18">
      <c r="A37" s="51"/>
      <c r="B37" s="68"/>
      <c r="K37" s="55"/>
      <c r="L37" s="122"/>
      <c r="M37" s="105" t="s">
        <v>70</v>
      </c>
      <c r="N37" s="40"/>
    </row>
    <row r="38" spans="1:14" ht="18">
      <c r="A38" s="51"/>
      <c r="B38" s="98" t="s">
        <v>71</v>
      </c>
      <c r="C38" s="123" t="str">
        <f>"M = "&amp;FIXED(G70,1)&amp;" kNm,    b = "&amp;FIXED(G71,0)&amp;" mm"</f>
        <v>M = 114.0 kNm,    b = 1,798 mm</v>
      </c>
      <c r="D38" s="100"/>
      <c r="E38" s="100"/>
      <c r="F38" s="100"/>
      <c r="G38" s="100"/>
      <c r="H38" s="100"/>
      <c r="I38" s="100"/>
      <c r="J38" s="100"/>
      <c r="K38" s="55"/>
      <c r="L38" s="122"/>
      <c r="M38" s="21" t="s">
        <v>72</v>
      </c>
      <c r="N38" s="40"/>
    </row>
    <row r="39" spans="1:14" ht="18">
      <c r="A39" s="51"/>
      <c r="B39" s="68"/>
      <c r="C39" s="58" t="str">
        <f>"d = "&amp;FIXED(G72,1)&amp;" mm,    As = "&amp;FIXED(G75,0)&amp;" mm²"</f>
        <v>d = 287.0 mm,    As = 955 mm²</v>
      </c>
      <c r="D39" s="100"/>
      <c r="E39" s="100"/>
      <c r="F39" s="100"/>
      <c r="G39" s="100"/>
      <c r="H39" s="103" t="str">
        <f>E92&amp;M6&amp;"12"&amp;Q22&amp;"T2"</f>
        <v>4 T12 10 T2</v>
      </c>
      <c r="I39" s="104"/>
      <c r="J39" s="104"/>
      <c r="K39" s="55"/>
      <c r="L39" s="122"/>
      <c r="M39" s="105"/>
      <c r="N39" s="40"/>
    </row>
    <row r="40" spans="1:14" ht="18">
      <c r="A40" s="51"/>
      <c r="B40" s="68"/>
      <c r="C40" s="100"/>
      <c r="D40" s="107" t="str">
        <f>H82</f>
        <v>4 T20 B</v>
      </c>
      <c r="E40" s="108" t="str">
        <f>" = "&amp;FIXED(G78,0)&amp;" mm²"</f>
        <v xml:space="preserve"> = 1,257 mm²</v>
      </c>
      <c r="F40" s="100"/>
      <c r="G40" s="54"/>
      <c r="H40" s="109"/>
      <c r="I40" s="109"/>
      <c r="J40" s="109"/>
      <c r="K40" s="55"/>
      <c r="L40" s="122"/>
      <c r="M40" s="38"/>
      <c r="N40" s="40"/>
    </row>
    <row r="41" spans="1:14" s="112" customFormat="1" ht="16.5">
      <c r="A41" s="51"/>
      <c r="B41" s="110"/>
      <c r="C41" s="111"/>
      <c r="D41" s="54"/>
      <c r="E41" s="124"/>
      <c r="G41" s="21"/>
      <c r="H41" s="109"/>
      <c r="I41" s="109"/>
      <c r="J41" s="109"/>
      <c r="K41" s="55"/>
      <c r="L41" s="125"/>
    </row>
    <row r="42" spans="1:14" ht="18">
      <c r="A42" s="51"/>
      <c r="B42" s="126"/>
      <c r="C42" s="99" t="str">
        <f>"V = "&amp;FIXED(C90,1)&amp;" kN,     bv = "&amp;FIXED(E90,0)&amp;" mm"</f>
        <v>V = 189.9 kN,     bv = 1,234 mm</v>
      </c>
      <c r="H42" s="115"/>
      <c r="I42" s="116" t="str">
        <f>G77&amp;M6&amp;H70&amp;Q21&amp;"B2"</f>
        <v>4 T20 09 B2</v>
      </c>
      <c r="J42" s="116"/>
      <c r="K42" s="55"/>
      <c r="L42" s="70"/>
    </row>
    <row r="43" spans="1:14" ht="18">
      <c r="A43" s="51"/>
      <c r="B43" s="126"/>
      <c r="C43" s="117" t="str">
        <f>"v = "&amp;FIXED(E91,3)&amp;" N/mm²,   (v-vc)b = "&amp;FIXED(C92,0)&amp;" N/mm"</f>
        <v>v = 0.536 N/mm²,   (v-vc)b = 494 N/mm</v>
      </c>
      <c r="H43" s="115"/>
      <c r="I43" s="118" t="str">
        <f>"Links "&amp;[1]Graf!J66+[1]Graf!J65&amp;M6&amp;C89&amp;Q23&amp;G92&amp;IF(E92&gt;2,M38,"")</f>
        <v>Links 7 T8 11 175 + 2x7 T8 12 175</v>
      </c>
      <c r="J43" s="119"/>
      <c r="K43" s="55"/>
      <c r="L43" s="70"/>
    </row>
    <row r="44" spans="1:14" ht="18">
      <c r="A44" s="51"/>
      <c r="B44" s="68"/>
      <c r="D44" s="107" t="str">
        <f>H92</f>
        <v>4 Legs T8 @ 175 LINKS</v>
      </c>
      <c r="E44" s="108" t="str">
        <f>" = "&amp;FIXED(M92,0)&amp;" N/mm"</f>
        <v xml:space="preserve"> = 503 N/mm</v>
      </c>
      <c r="F44" s="86"/>
      <c r="G44" s="54"/>
      <c r="H44" s="276" t="s">
        <v>73</v>
      </c>
      <c r="I44" s="277"/>
      <c r="J44" s="277"/>
      <c r="K44" s="55"/>
      <c r="L44" s="127" t="str">
        <f>CEILING([1]SCHEDULE!W21,1)&amp;" kg per cap"</f>
        <v>79 kg per cap</v>
      </c>
    </row>
    <row r="45" spans="1:14" s="136" customFormat="1" ht="12" thickBot="1">
      <c r="A45" s="128"/>
      <c r="B45" s="129"/>
      <c r="C45" s="130"/>
      <c r="D45" s="131"/>
      <c r="E45" s="132"/>
      <c r="F45" s="132"/>
      <c r="G45" s="133"/>
      <c r="H45" s="130"/>
      <c r="I45" s="131"/>
      <c r="J45" s="132"/>
      <c r="K45" s="134"/>
      <c r="L45" s="135"/>
    </row>
    <row r="46" spans="1:14" ht="17.25" thickTop="1" thickBot="1">
      <c r="A46" s="51"/>
      <c r="B46" s="137"/>
      <c r="C46" s="51"/>
      <c r="D46" s="51"/>
      <c r="E46" s="51"/>
      <c r="F46" s="51"/>
      <c r="G46" s="51"/>
      <c r="H46" s="51"/>
      <c r="I46" s="51"/>
      <c r="J46" s="51"/>
      <c r="K46" s="138"/>
      <c r="L46" s="139"/>
    </row>
    <row r="47" spans="1:14" ht="33" customHeight="1" thickTop="1" thickBot="1">
      <c r="A47" s="25"/>
      <c r="B47" s="26" t="s">
        <v>3</v>
      </c>
      <c r="C47" s="140"/>
      <c r="D47" s="27"/>
      <c r="E47" s="27"/>
      <c r="F47" s="28"/>
      <c r="G47" s="278"/>
      <c r="H47" s="279"/>
      <c r="I47" s="282">
        <f>I7</f>
        <v>0</v>
      </c>
      <c r="J47" s="283">
        <f>J7</f>
        <v>0</v>
      </c>
      <c r="K47" s="284">
        <f>K7</f>
        <v>0</v>
      </c>
      <c r="L47" s="141"/>
    </row>
    <row r="48" spans="1:14" ht="18.75" thickTop="1">
      <c r="A48" s="22"/>
      <c r="B48" s="30" t="s">
        <v>5</v>
      </c>
      <c r="C48" s="142"/>
      <c r="D48" s="31"/>
      <c r="E48" s="32"/>
      <c r="F48" s="33"/>
      <c r="G48" s="280"/>
      <c r="H48" s="281"/>
      <c r="I48" s="34" t="s">
        <v>6</v>
      </c>
      <c r="J48" s="35" t="s">
        <v>7</v>
      </c>
      <c r="K48" s="36" t="s">
        <v>8</v>
      </c>
      <c r="L48" s="141"/>
    </row>
    <row r="49" spans="1:18" ht="19.5" customHeight="1">
      <c r="A49" s="22"/>
      <c r="B49" s="30" t="s">
        <v>11</v>
      </c>
      <c r="C49" s="143">
        <f>D9</f>
        <v>0</v>
      </c>
      <c r="D49" s="32"/>
      <c r="E49" s="32"/>
      <c r="F49" s="33"/>
      <c r="G49" s="263" t="str">
        <f>G9</f>
        <v>Triple Pilecap</v>
      </c>
      <c r="H49" s="264">
        <f>H9</f>
        <v>0</v>
      </c>
      <c r="I49" s="144">
        <f>I9</f>
        <v>0</v>
      </c>
      <c r="J49" s="145">
        <f ca="1">J9</f>
        <v>43070</v>
      </c>
      <c r="K49" s="146">
        <f>K9+1</f>
        <v>1</v>
      </c>
      <c r="L49" s="141"/>
    </row>
    <row r="50" spans="1:18" ht="18">
      <c r="A50" s="22"/>
      <c r="B50" s="41"/>
      <c r="C50" s="34">
        <f>C10</f>
        <v>0</v>
      </c>
      <c r="D50" s="42"/>
      <c r="E50" s="43"/>
      <c r="F50" s="44"/>
      <c r="G50" s="265">
        <f>G10</f>
        <v>0</v>
      </c>
      <c r="H50" s="264">
        <f>H10</f>
        <v>0</v>
      </c>
      <c r="I50" s="34" t="s">
        <v>15</v>
      </c>
      <c r="J50" s="45" t="s">
        <v>16</v>
      </c>
      <c r="K50" s="36" t="s">
        <v>17</v>
      </c>
      <c r="L50" s="141"/>
    </row>
    <row r="51" spans="1:18" ht="18.75" thickBot="1">
      <c r="A51" s="22"/>
      <c r="B51" s="46"/>
      <c r="C51" s="47"/>
      <c r="D51" s="47"/>
      <c r="E51" s="48"/>
      <c r="F51" s="49"/>
      <c r="G51" s="49"/>
      <c r="H51" s="50"/>
      <c r="I51" s="147" t="str">
        <f>I11</f>
        <v>-</v>
      </c>
      <c r="J51" s="148" t="str">
        <f>J11</f>
        <v>-</v>
      </c>
      <c r="K51" s="149">
        <f>K11</f>
        <v>0</v>
      </c>
      <c r="L51" s="141"/>
    </row>
    <row r="52" spans="1:18" ht="16.5" thickTop="1">
      <c r="A52" s="51"/>
      <c r="B52" s="150"/>
      <c r="C52" s="151"/>
      <c r="D52" s="152"/>
      <c r="E52" s="152"/>
      <c r="F52" s="153"/>
      <c r="G52" s="153"/>
      <c r="H52" s="153"/>
      <c r="I52" s="153"/>
      <c r="J52" s="153"/>
      <c r="K52" s="154"/>
      <c r="L52" s="141"/>
    </row>
    <row r="53" spans="1:18" ht="15.75">
      <c r="A53" s="51"/>
      <c r="B53" s="155" t="s">
        <v>74</v>
      </c>
      <c r="C53" s="156">
        <f>[1]DOUBLE!J10*((2*E14+E15)*(2*E14+E16)-E15/2*E16)*E18/1000000000</f>
        <v>27.565743999999999</v>
      </c>
      <c r="D53" s="97" t="s">
        <v>75</v>
      </c>
      <c r="F53" s="38" t="s">
        <v>76</v>
      </c>
      <c r="G53" s="157">
        <f>2*E16/3</f>
        <v>750.66666666666663</v>
      </c>
      <c r="H53" s="105" t="s">
        <v>77</v>
      </c>
      <c r="K53" s="158"/>
      <c r="L53" s="141"/>
    </row>
    <row r="54" spans="1:18" ht="15.75">
      <c r="A54" s="51"/>
      <c r="B54" s="159"/>
      <c r="F54" s="160"/>
      <c r="K54" s="154"/>
      <c r="L54" s="141"/>
    </row>
    <row r="55" spans="1:18" ht="15.75">
      <c r="A55" s="51"/>
      <c r="B55" s="161" t="s">
        <v>78</v>
      </c>
      <c r="C55" s="162"/>
      <c r="D55" s="162"/>
      <c r="E55" s="162"/>
      <c r="F55" s="160"/>
      <c r="K55" s="154"/>
      <c r="L55" s="141"/>
    </row>
    <row r="56" spans="1:18" ht="15.75">
      <c r="A56" s="51"/>
      <c r="B56" s="163"/>
      <c r="C56" s="164" t="s">
        <v>57</v>
      </c>
      <c r="D56" s="165" t="s">
        <v>58</v>
      </c>
      <c r="E56" s="166" t="s">
        <v>59</v>
      </c>
      <c r="H56" s="167" t="s">
        <v>79</v>
      </c>
      <c r="I56" s="168"/>
      <c r="J56" s="168"/>
      <c r="K56" s="169"/>
      <c r="L56" s="141"/>
    </row>
    <row r="57" spans="1:18" ht="15.75">
      <c r="A57" s="51"/>
      <c r="B57" s="163" t="s">
        <v>80</v>
      </c>
      <c r="C57" s="170">
        <f>(C23+D23+C53)/3-1000*(I59+J59)/E16</f>
        <v>140.44559731912369</v>
      </c>
      <c r="D57" s="171">
        <f>(C23+D23+C53)/3+500*(I59+J59)/E16-1000*(I58+J58)/E15</f>
        <v>168.8716118019766</v>
      </c>
      <c r="E57" s="172">
        <f>(C23+D23+C53)/3+500*(I59+J59)/E16+1000*(I58+J58)/E15</f>
        <v>191.94853487889969</v>
      </c>
      <c r="F57" s="173" t="str">
        <f>IF(MAX(C57:E57)&gt;[1]DOUBLE!D10,"PILE CAPACITY EXCEEDED",".")</f>
        <v>.</v>
      </c>
      <c r="H57" s="174"/>
      <c r="I57" s="164" t="s">
        <v>39</v>
      </c>
      <c r="J57" s="165" t="s">
        <v>40</v>
      </c>
      <c r="K57" s="175" t="s">
        <v>41</v>
      </c>
      <c r="L57" s="141"/>
    </row>
    <row r="58" spans="1:18" ht="15.75">
      <c r="A58" s="51"/>
      <c r="B58" s="163" t="s">
        <v>81</v>
      </c>
      <c r="C58" s="176">
        <f>C57-1000*K59/E16+E23/3</f>
        <v>139.33843331675544</v>
      </c>
      <c r="D58" s="177">
        <f>D57+500*K59/E16-1000*K58/E15+E23/3</f>
        <v>172.88673226469919</v>
      </c>
      <c r="E58" s="178">
        <f>E57+500*K59/E16+1000*K58/E15+E23/3</f>
        <v>199.04057841854538</v>
      </c>
      <c r="F58" s="173" t="str">
        <f>IF(MAX(C58:E58)&gt;1.25*[1]DOUBLE!D10,"&gt; 1.25 x PILE CAPACITY",".")</f>
        <v>.</v>
      </c>
      <c r="H58" s="174" t="s">
        <v>82</v>
      </c>
      <c r="I58" s="179">
        <f>C24+C26*$E18/1000</f>
        <v>10</v>
      </c>
      <c r="J58" s="180">
        <f>D24+D26*$E18/1000</f>
        <v>5</v>
      </c>
      <c r="K58" s="181">
        <f>E24+E26*$E18/1000</f>
        <v>2</v>
      </c>
      <c r="L58" s="141"/>
    </row>
    <row r="59" spans="1:18" ht="15.75">
      <c r="A59" s="51"/>
      <c r="B59" s="163" t="s">
        <v>83</v>
      </c>
      <c r="C59" s="176">
        <f>(1.4*C23+1.6*D23)/3-1000*(1.4*I59+1.6*J59)/E16</f>
        <v>189.86362344582582</v>
      </c>
      <c r="D59" s="177">
        <f>(1.4*C23+1.6*D23)/3+500*(1.4*I59+1.6*J59)/E16-1000*(1.4*I58+1.6*J58)/E15</f>
        <v>231.55511135401011</v>
      </c>
      <c r="E59" s="178">
        <f>(1.4*C23+1.6*D23)/3+500*(1.4*I59+1.6*J59)/E16+1000*(1.4*I58+1.6*J58)/E15</f>
        <v>265.40126520016395</v>
      </c>
      <c r="F59" s="182"/>
      <c r="H59" s="174" t="s">
        <v>84</v>
      </c>
      <c r="I59" s="179">
        <f>C25+C27*$E18/1000+C23*($E16-$E17-$G53)/1000</f>
        <v>20.000000000000039</v>
      </c>
      <c r="J59" s="180">
        <f>D25+D27*$E18/1000+D23*($E16-$E17-$G53)/1000</f>
        <v>10.000000000000014</v>
      </c>
      <c r="K59" s="181">
        <f>E25+E27*$E18/1000+E23*($E16-$E17-$G53)/1000</f>
        <v>5.0000000000000009</v>
      </c>
      <c r="L59" s="141"/>
    </row>
    <row r="60" spans="1:18" ht="15.75">
      <c r="A60" s="51"/>
      <c r="B60" s="163" t="s">
        <v>85</v>
      </c>
      <c r="C60" s="176">
        <f>(C23+1.4*E23)/3-1000*(I59+1.4*K59)/E16</f>
        <v>99.187981053878005</v>
      </c>
      <c r="D60" s="177">
        <f>(C23+1.4*E23)/3+500*(I59+1.4*K59)/E16-1000*(I58+1.4*K58)/E15</f>
        <v>125.30985562690717</v>
      </c>
      <c r="E60" s="178">
        <f>(C23+1.4*E23)/3+500*(I59+1.4*K59)/E16+1000*(I58+1.4*K58)/E15</f>
        <v>145.00216331921484</v>
      </c>
      <c r="F60" s="173" t="str">
        <f>IF(MIN(C57:E58)&lt;0,"PILE IN TENSION",IF(MIN(C59:E61)&lt;0,"PILE IN TENSION (ULS)","."))</f>
        <v>.</v>
      </c>
      <c r="K60" s="158"/>
      <c r="L60" s="141"/>
      <c r="N60" s="40"/>
      <c r="O60" s="253" t="s">
        <v>86</v>
      </c>
      <c r="P60" s="254"/>
    </row>
    <row r="61" spans="1:18" ht="15.75">
      <c r="A61" s="51"/>
      <c r="B61" s="163" t="s">
        <v>87</v>
      </c>
      <c r="C61" s="179">
        <f>0.4*SUM(C23:E23)-1200*SUM(I59:K59)/E16</f>
        <v>156.17982238010654</v>
      </c>
      <c r="D61" s="180">
        <f>0.4*SUM(C23:E23)+600*SUM(I59:K59)/E16-1200*SUM(I58:K58)/E15</f>
        <v>196.43778111763908</v>
      </c>
      <c r="E61" s="183">
        <f>0.4*SUM(C23:E23)+600*SUM(I59:K59)/E16+1200*SUM(I58:K58)/E15</f>
        <v>227.82239650225443</v>
      </c>
      <c r="F61" s="162"/>
      <c r="K61" s="158"/>
      <c r="L61" s="141"/>
      <c r="N61" s="184"/>
      <c r="O61" s="185" t="s">
        <v>88</v>
      </c>
      <c r="P61" s="186" t="s">
        <v>89</v>
      </c>
    </row>
    <row r="62" spans="1:18" ht="15.75">
      <c r="A62" s="51"/>
      <c r="B62" s="163"/>
      <c r="K62" s="158"/>
      <c r="L62" s="141"/>
      <c r="N62" s="69" t="s">
        <v>90</v>
      </c>
      <c r="O62" s="170">
        <f>E18-[1]DOUBLE!G10-22.5</f>
        <v>302.5</v>
      </c>
      <c r="P62" s="172">
        <f>O62-25</f>
        <v>277.5</v>
      </c>
    </row>
    <row r="63" spans="1:18" ht="15.75">
      <c r="A63" s="51"/>
      <c r="B63" s="187" t="s">
        <v>91</v>
      </c>
      <c r="G63" s="168"/>
      <c r="H63" s="168"/>
      <c r="I63" s="168"/>
      <c r="J63" s="168"/>
      <c r="K63" s="158"/>
      <c r="L63" s="141"/>
      <c r="N63" s="69" t="s">
        <v>92</v>
      </c>
      <c r="O63" s="188">
        <f>3*E14</f>
        <v>1050</v>
      </c>
      <c r="P63" s="189">
        <f>2*E14+E15*(E14+E16-E17-C16/2)/E16</f>
        <v>1797.5725281231498</v>
      </c>
      <c r="Q63" s="168"/>
      <c r="R63" s="168"/>
    </row>
    <row r="64" spans="1:18" ht="15.75">
      <c r="A64" s="51"/>
      <c r="B64" s="159"/>
      <c r="C64" s="266" t="s">
        <v>83</v>
      </c>
      <c r="D64" s="266"/>
      <c r="E64" s="266" t="s">
        <v>85</v>
      </c>
      <c r="F64" s="266"/>
      <c r="G64" s="266" t="s">
        <v>87</v>
      </c>
      <c r="H64" s="266"/>
      <c r="I64" s="168"/>
      <c r="J64" s="168"/>
      <c r="K64" s="158"/>
      <c r="L64" s="141"/>
      <c r="N64" s="69" t="s">
        <v>93</v>
      </c>
      <c r="O64" s="190">
        <f>500000*C70/O63/[1]DOUBLE!D8/O62^2</f>
        <v>2.5649461307582382E-2</v>
      </c>
      <c r="P64" s="191">
        <f>500000*G70/P63/[1]DOUBLE!D8/P62^2</f>
        <v>1.1769685540963587E-2</v>
      </c>
      <c r="Q64" s="168"/>
      <c r="R64" s="168"/>
    </row>
    <row r="65" spans="1:27" ht="15.75">
      <c r="A65" s="51"/>
      <c r="B65" s="163" t="s">
        <v>94</v>
      </c>
      <c r="C65" s="267">
        <f>C59*(E16-E17-C16/2)/1000</f>
        <v>114.04474981645939</v>
      </c>
      <c r="D65" s="268"/>
      <c r="E65" s="267">
        <f>C65*C60/C59</f>
        <v>59.578913953029392</v>
      </c>
      <c r="F65" s="268"/>
      <c r="G65" s="267">
        <f>C65*C61/C59</f>
        <v>93.812013309650666</v>
      </c>
      <c r="H65" s="268"/>
      <c r="I65" s="184"/>
      <c r="J65" s="97"/>
      <c r="K65" s="158"/>
      <c r="L65" s="141"/>
      <c r="N65" s="174" t="s">
        <v>95</v>
      </c>
      <c r="O65" s="176">
        <f>O62*MIN(0.5+SQRT(0.25-O64/0.9),0.95)</f>
        <v>287.375</v>
      </c>
      <c r="P65" s="178">
        <f>P62*MIN(0.5+SQRT(0.25-P64/0.9),0.95)</f>
        <v>263.625</v>
      </c>
      <c r="Q65" s="168"/>
      <c r="R65" s="168"/>
    </row>
    <row r="66" spans="1:27" ht="15.75">
      <c r="A66" s="51"/>
      <c r="B66" s="163" t="s">
        <v>96</v>
      </c>
      <c r="C66" s="259">
        <f>(D59+E59)*(E17-C16/2)/1000</f>
        <v>111.98083685020721</v>
      </c>
      <c r="D66" s="260"/>
      <c r="E66" s="259">
        <f>(D60+E60)*(E17-C16/2)/1000</f>
        <v>60.910308269192818</v>
      </c>
      <c r="F66" s="260"/>
      <c r="G66" s="259">
        <f>(D61+E61)*(E17-C16/2)/1000</f>
        <v>95.599960023682669</v>
      </c>
      <c r="H66" s="260"/>
      <c r="I66" s="184"/>
      <c r="J66" s="97"/>
      <c r="K66" s="158"/>
      <c r="L66" s="141"/>
      <c r="N66" s="184" t="s">
        <v>97</v>
      </c>
      <c r="O66" s="188">
        <f>1000000*C70/O65/[1]DOUBLE!D9*[1]DOUBLE!J9</f>
        <v>1370.2469012925237</v>
      </c>
      <c r="P66" s="189">
        <f>1000000*G70/P65/[1]DOUBLE!D9*[1]DOUBLE!J9</f>
        <v>987.4614988128094</v>
      </c>
      <c r="Q66" s="168"/>
      <c r="R66" s="168"/>
    </row>
    <row r="67" spans="1:27" ht="15.75">
      <c r="A67" s="51"/>
      <c r="B67" s="163" t="s">
        <v>82</v>
      </c>
      <c r="C67" s="261">
        <f>MAX(D59:E59)*E15/2000</f>
        <v>172.51082238010659</v>
      </c>
      <c r="D67" s="262"/>
      <c r="E67" s="261">
        <f>MAX(D60:E60)*E15/2000</f>
        <v>94.251406157489654</v>
      </c>
      <c r="F67" s="262"/>
      <c r="G67" s="261">
        <f>MAX(D61:E61)*E15/2000</f>
        <v>148.08455772646536</v>
      </c>
      <c r="H67" s="262"/>
      <c r="I67" s="184"/>
      <c r="J67" s="97"/>
      <c r="K67" s="158"/>
      <c r="L67" s="141"/>
      <c r="M67" s="38"/>
      <c r="N67" s="184" t="s">
        <v>98</v>
      </c>
      <c r="O67" s="188">
        <f>MAX(O66,$J71*2*E14*E18)</f>
        <v>1370.2469012925237</v>
      </c>
      <c r="P67" s="189">
        <f>MAX(P66,$J71*2*E14*E18)</f>
        <v>987.4614988128094</v>
      </c>
      <c r="Q67" s="168"/>
      <c r="R67" s="168"/>
    </row>
    <row r="68" spans="1:27" ht="15.75">
      <c r="A68" s="51"/>
      <c r="B68" s="163"/>
      <c r="K68" s="158"/>
      <c r="L68" s="141"/>
      <c r="M68" s="184"/>
      <c r="N68" s="184" t="s">
        <v>99</v>
      </c>
      <c r="O68" s="192">
        <f>CEILING(2*(E14-[1]DOUBLE!G9-20)/O70+1,1)</f>
        <v>3</v>
      </c>
      <c r="P68" s="193">
        <f>CEILING(2*(E14-[1]DOUBLE!G9-20)/P70+1,1)</f>
        <v>3</v>
      </c>
      <c r="Q68" s="194">
        <f>CEILING(O67/VLOOKUP(O67/O68,[1]DOUBLE!O1:P8,1),1)</f>
        <v>5</v>
      </c>
      <c r="R68" s="194">
        <f>CEILING(P67/VLOOKUP(P67/P68,[1]DOUBLE!O1:P8,1),1)</f>
        <v>4</v>
      </c>
      <c r="S68" s="168"/>
    </row>
    <row r="69" spans="1:27" ht="15.75">
      <c r="A69" s="51"/>
      <c r="B69" s="161" t="s">
        <v>100</v>
      </c>
      <c r="C69" s="195"/>
      <c r="D69" s="195"/>
      <c r="E69" s="195"/>
      <c r="F69" s="167" t="s">
        <v>101</v>
      </c>
      <c r="G69" s="195"/>
      <c r="H69" s="195"/>
      <c r="I69" s="184"/>
      <c r="J69" s="97"/>
      <c r="K69" s="158"/>
      <c r="L69" s="141"/>
      <c r="M69" s="184"/>
      <c r="N69" s="184" t="s">
        <v>102</v>
      </c>
      <c r="O69" s="188">
        <f>2/3*[1]DOUBLE!D9</f>
        <v>306.66666666666663</v>
      </c>
      <c r="P69" s="189">
        <f>O69</f>
        <v>306.66666666666663</v>
      </c>
      <c r="Q69" s="194">
        <f>CEILING(2*(E14-[1]DOUBLE!G9-14)/0.75/O62,1)</f>
        <v>3</v>
      </c>
      <c r="R69" s="194"/>
      <c r="S69" s="168"/>
    </row>
    <row r="70" spans="1:27" ht="15.75">
      <c r="A70" s="51"/>
      <c r="B70" s="163" t="s">
        <v>103</v>
      </c>
      <c r="C70" s="195">
        <f>MAX(C67:H67)</f>
        <v>172.51082238010659</v>
      </c>
      <c r="D70" s="196">
        <f>VLOOKUP(O67/O68,[1]DOUBLE!O1:P8,2)</f>
        <v>20</v>
      </c>
      <c r="E70" s="168"/>
      <c r="F70" s="69" t="s">
        <v>103</v>
      </c>
      <c r="G70" s="195">
        <f>MAX(C65:H66)</f>
        <v>114.04474981645939</v>
      </c>
      <c r="H70" s="196">
        <f>VLOOKUP(P67/P68,[1]DOUBLE!O1:P8,2)</f>
        <v>20</v>
      </c>
      <c r="I70" s="184" t="s">
        <v>104</v>
      </c>
      <c r="J70" s="197">
        <f>[1]DOUBLE!J58</f>
        <v>0.15577500000000002</v>
      </c>
      <c r="K70" s="158"/>
      <c r="L70" s="141"/>
      <c r="M70" s="184"/>
      <c r="N70" s="184" t="s">
        <v>105</v>
      </c>
      <c r="O70" s="179">
        <f>MIN(47000/O69/MIN(1,O75)+25,300)</f>
        <v>300</v>
      </c>
      <c r="P70" s="183">
        <f>IF(P69=0,300,MIN(47000/P69/MIN(1,P75)+25,300))</f>
        <v>300</v>
      </c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</row>
    <row r="71" spans="1:27" ht="15.75">
      <c r="A71" s="51"/>
      <c r="B71" s="163" t="s">
        <v>92</v>
      </c>
      <c r="C71" s="198">
        <f>O63</f>
        <v>1050</v>
      </c>
      <c r="D71" s="199"/>
      <c r="E71" s="200"/>
      <c r="F71" s="201" t="s">
        <v>92</v>
      </c>
      <c r="G71" s="198">
        <f>P63</f>
        <v>1797.5725281231498</v>
      </c>
      <c r="H71" s="196"/>
      <c r="I71" s="69" t="s">
        <v>106</v>
      </c>
      <c r="J71" s="202">
        <f>[1]DOUBLE!J59</f>
        <v>1.2999999999999999E-3</v>
      </c>
      <c r="K71" s="158"/>
      <c r="L71" s="141"/>
      <c r="M71" s="184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</row>
    <row r="72" spans="1:27" ht="15.75">
      <c r="A72" s="51"/>
      <c r="B72" s="163" t="s">
        <v>90</v>
      </c>
      <c r="C72" s="195">
        <f>E18-[1]DOUBLE!G10-C85-D70/2</f>
        <v>307</v>
      </c>
      <c r="D72" s="168"/>
      <c r="E72" s="168"/>
      <c r="F72" s="69" t="s">
        <v>90</v>
      </c>
      <c r="G72" s="195">
        <f>E18-[1]DOUBLE!G10-C89-H70/2-D70</f>
        <v>287</v>
      </c>
      <c r="H72" s="168"/>
      <c r="K72" s="158"/>
      <c r="L72" s="141"/>
      <c r="M72" s="184"/>
      <c r="N72" s="184"/>
      <c r="O72" s="253" t="s">
        <v>107</v>
      </c>
      <c r="P72" s="254"/>
      <c r="R72" s="97"/>
      <c r="S72" s="168"/>
      <c r="T72" s="168"/>
      <c r="U72" s="168"/>
      <c r="V72" s="168"/>
      <c r="W72" s="168"/>
      <c r="X72" s="168"/>
      <c r="Y72" s="168"/>
      <c r="Z72" s="168"/>
      <c r="AA72" s="168"/>
    </row>
    <row r="73" spans="1:27" ht="15.75">
      <c r="A73" s="51"/>
      <c r="B73" s="163" t="s">
        <v>93</v>
      </c>
      <c r="C73" s="203">
        <f>1000000*C70/C71/[1]DOUBLE!D8/C72^2</f>
        <v>4.9806067306326016E-2</v>
      </c>
      <c r="D73" s="168"/>
      <c r="E73" s="168"/>
      <c r="F73" s="69" t="s">
        <v>93</v>
      </c>
      <c r="G73" s="203">
        <f>1000000*G70/G71/[1]DOUBLE!D8/G72^2</f>
        <v>2.2006807104343315E-2</v>
      </c>
      <c r="H73" s="168"/>
      <c r="I73" s="168"/>
      <c r="J73" s="168"/>
      <c r="K73" s="158"/>
      <c r="L73" s="141"/>
      <c r="M73" s="184"/>
      <c r="O73" s="204" t="s">
        <v>108</v>
      </c>
      <c r="P73" s="205">
        <v>1</v>
      </c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</row>
    <row r="74" spans="1:27" ht="15.75">
      <c r="A74" s="51"/>
      <c r="B74" s="163" t="s">
        <v>95</v>
      </c>
      <c r="C74" s="156">
        <f>C72*MIN(0.5+SQRT(0.25-C73/0.9),0.95)</f>
        <v>288.94926464033222</v>
      </c>
      <c r="D74" s="168"/>
      <c r="E74" s="168"/>
      <c r="F74" s="174" t="s">
        <v>95</v>
      </c>
      <c r="G74" s="156">
        <f>G72*MIN(0.5+SQRT(0.25-G73/0.9),0.95)</f>
        <v>272.64999999999998</v>
      </c>
      <c r="H74" s="168"/>
      <c r="I74" s="168"/>
      <c r="J74" s="168"/>
      <c r="K74" s="158"/>
      <c r="L74" s="141"/>
      <c r="M74" s="184"/>
      <c r="N74" s="69" t="s">
        <v>92</v>
      </c>
      <c r="O74" s="206">
        <f>2*E14+MIN(E14,E16*(E14+E84)/E15*2)</f>
        <v>1050</v>
      </c>
      <c r="P74" s="207">
        <f>2*E14+E15*(E14+E84)/E16</f>
        <v>1233.9698046181172</v>
      </c>
      <c r="Q74" s="20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</row>
    <row r="75" spans="1:27" ht="15.75">
      <c r="A75" s="51"/>
      <c r="B75" s="163" t="s">
        <v>97</v>
      </c>
      <c r="C75" s="157">
        <f>1000000*C70/C74/[1]DOUBLE!D9*[1]DOUBLE!J9</f>
        <v>1362.7814687436135</v>
      </c>
      <c r="D75" s="168"/>
      <c r="E75" s="168"/>
      <c r="F75" s="184" t="s">
        <v>97</v>
      </c>
      <c r="G75" s="157">
        <f>1000000*G70/G74/[1]DOUBLE!D9*[1]DOUBLE!J9</f>
        <v>954.77549101238549</v>
      </c>
      <c r="H75" s="168"/>
      <c r="I75" s="168"/>
      <c r="J75" s="168"/>
      <c r="K75" s="158"/>
      <c r="L75" s="141"/>
      <c r="M75" s="184"/>
      <c r="N75" s="184" t="s">
        <v>109</v>
      </c>
      <c r="O75" s="209">
        <f>100*O66/O74/O62*1.02</f>
        <v>0.44003206275273493</v>
      </c>
      <c r="P75" s="210">
        <f>100*P66/P74/P62*1.02</f>
        <v>0.29413914329741275</v>
      </c>
      <c r="Q75" s="160"/>
      <c r="R75" s="168"/>
      <c r="S75" s="168"/>
      <c r="T75" s="168"/>
      <c r="U75" s="168"/>
      <c r="V75" s="168"/>
      <c r="W75" s="168"/>
      <c r="X75" s="168"/>
      <c r="Y75" s="168"/>
      <c r="Z75" s="168"/>
      <c r="AA75" s="168"/>
    </row>
    <row r="76" spans="1:27" ht="15.75">
      <c r="A76" s="51"/>
      <c r="B76" s="163" t="s">
        <v>98</v>
      </c>
      <c r="C76" s="157">
        <f>MAX(C75,$J71*2*E14*E18)</f>
        <v>1362.7814687436135</v>
      </c>
      <c r="D76" s="168"/>
      <c r="E76" s="168"/>
      <c r="F76" s="184" t="s">
        <v>98</v>
      </c>
      <c r="G76" s="157">
        <f>MAX(G75,$J71*2*E14*E18)</f>
        <v>954.77549101238549</v>
      </c>
      <c r="H76" s="168"/>
      <c r="I76" s="168"/>
      <c r="J76" s="168"/>
      <c r="K76" s="158"/>
      <c r="L76" s="141"/>
      <c r="M76" s="184"/>
      <c r="N76" s="184" t="s">
        <v>110</v>
      </c>
      <c r="O76" s="176">
        <f>MAX(D59:E61)</f>
        <v>265.40126520016395</v>
      </c>
      <c r="P76" s="178">
        <f>MAX(C59:C61)</f>
        <v>189.86362344582582</v>
      </c>
      <c r="Q76" s="211"/>
      <c r="R76" s="168"/>
      <c r="S76" s="168"/>
      <c r="T76" s="168"/>
      <c r="U76" s="168"/>
      <c r="V76" s="168"/>
      <c r="W76" s="168"/>
      <c r="X76" s="168"/>
      <c r="Y76" s="168"/>
      <c r="Z76" s="168"/>
      <c r="AA76" s="168"/>
    </row>
    <row r="77" spans="1:27" ht="15.75">
      <c r="A77" s="51"/>
      <c r="B77" s="163" t="s">
        <v>99</v>
      </c>
      <c r="C77" s="194">
        <f>MAX(2,CEILING(C76/PI()*4/D70^2,1))</f>
        <v>5</v>
      </c>
      <c r="D77" s="168"/>
      <c r="E77" s="168"/>
      <c r="F77" s="184" t="s">
        <v>99</v>
      </c>
      <c r="G77" s="194">
        <f>MAX(2,CEILING(G76/PI()*4/H70^2,1))</f>
        <v>4</v>
      </c>
      <c r="H77" s="168"/>
      <c r="I77" s="168"/>
      <c r="J77" s="168"/>
      <c r="K77" s="158"/>
      <c r="L77" s="141"/>
      <c r="M77" s="184"/>
      <c r="N77" s="184" t="s">
        <v>111</v>
      </c>
      <c r="O77" s="190">
        <f>1000*O76/O74/O62</f>
        <v>0.83558052798162596</v>
      </c>
      <c r="P77" s="191">
        <f>1000*P76/P74/P62</f>
        <v>0.55446513770598804</v>
      </c>
      <c r="Q77" s="211"/>
      <c r="R77" s="168"/>
      <c r="S77" s="168"/>
      <c r="T77" s="168"/>
      <c r="U77" s="168"/>
      <c r="V77" s="168"/>
      <c r="W77" s="168"/>
      <c r="X77" s="168"/>
      <c r="Y77" s="168"/>
      <c r="Z77" s="168"/>
      <c r="AA77" s="168"/>
    </row>
    <row r="78" spans="1:27" ht="15.75">
      <c r="A78" s="51"/>
      <c r="B78" s="163" t="s">
        <v>112</v>
      </c>
      <c r="C78" s="157">
        <f>PI()/4*D70^2*C77</f>
        <v>1570.7963267948967</v>
      </c>
      <c r="D78" s="168"/>
      <c r="E78" s="168"/>
      <c r="F78" s="184" t="s">
        <v>112</v>
      </c>
      <c r="G78" s="157">
        <f>PI()/4*H70^2*G77</f>
        <v>1256.6370614359173</v>
      </c>
      <c r="H78" s="168"/>
      <c r="I78" s="168"/>
      <c r="J78" s="168"/>
      <c r="K78" s="158"/>
      <c r="L78" s="141"/>
      <c r="M78" s="168"/>
      <c r="N78" s="184" t="s">
        <v>113</v>
      </c>
      <c r="O78" s="190">
        <f>MAX(1,2*O62/C91)*0.632*MAX(1,400/O62)^0.25*MIN(3,O75)^0.3333333*(MIN([1]DOUBLE!D8,40)/25)^0.3333333</f>
        <v>0.576662252959521</v>
      </c>
      <c r="P78" s="191">
        <f>MAX(1,2*P62/C87)*0.632*MAX(1,400/P62)^0.25*MIN(3,P75)^0.3333333*(MIN([1]DOUBLE!D8,40)/25)^0.3333333</f>
        <v>0.5319749016040215</v>
      </c>
      <c r="Q78" s="211"/>
      <c r="R78" s="168"/>
      <c r="S78" s="168"/>
      <c r="T78" s="168"/>
      <c r="U78" s="168"/>
      <c r="V78" s="168"/>
      <c r="W78" s="168"/>
      <c r="X78" s="168"/>
      <c r="Y78" s="168"/>
      <c r="Z78" s="168"/>
      <c r="AA78" s="168"/>
    </row>
    <row r="79" spans="1:27" ht="15.75">
      <c r="A79" s="51"/>
      <c r="B79" s="163" t="s">
        <v>102</v>
      </c>
      <c r="C79" s="157">
        <f>2/3*[1]DOUBLE!D9*C75/C78</f>
        <v>266.05591271495064</v>
      </c>
      <c r="D79" s="168"/>
      <c r="E79" s="168"/>
      <c r="F79" s="184" t="s">
        <v>102</v>
      </c>
      <c r="G79" s="157">
        <f>IF(G75=0,0,2/3*[1]DOUBLE!D9*G75/G78)</f>
        <v>233.00109970433934</v>
      </c>
      <c r="H79" s="168"/>
      <c r="I79" s="168"/>
      <c r="J79" s="168"/>
      <c r="K79" s="158"/>
      <c r="L79" s="141"/>
      <c r="M79" s="168"/>
      <c r="N79" s="184" t="s">
        <v>114</v>
      </c>
      <c r="O79" s="176">
        <f>MAX(O77-O78,0.4)*O74</f>
        <v>420</v>
      </c>
      <c r="P79" s="178">
        <f>MAX(P77-P78,0.4)*P74</f>
        <v>493.58792184724689</v>
      </c>
      <c r="R79" s="168"/>
      <c r="S79" s="168"/>
      <c r="T79" s="168"/>
      <c r="U79" s="168"/>
      <c r="V79" s="168"/>
      <c r="W79" s="168"/>
      <c r="X79" s="168"/>
      <c r="Y79" s="168"/>
      <c r="Z79" s="168"/>
      <c r="AA79" s="168"/>
    </row>
    <row r="80" spans="1:27" ht="15.75">
      <c r="A80" s="51"/>
      <c r="B80" s="163" t="s">
        <v>115</v>
      </c>
      <c r="C80" s="195">
        <f>MIN(47000/C79/MIN(1,G86),300-D70)</f>
        <v>280</v>
      </c>
      <c r="D80" s="168"/>
      <c r="E80" s="168"/>
      <c r="F80" s="184" t="s">
        <v>115</v>
      </c>
      <c r="G80" s="195">
        <f>MIN(47000/G79/MIN(1,G90),300-H70)</f>
        <v>280</v>
      </c>
      <c r="H80" s="168"/>
      <c r="I80" s="168"/>
      <c r="J80" s="168"/>
      <c r="K80" s="158"/>
      <c r="L80" s="212" t="str">
        <f>IF(M33+M34&gt;0,"Spacing failure",".")</f>
        <v>.</v>
      </c>
      <c r="M80" s="184"/>
      <c r="N80" s="184" t="s">
        <v>116</v>
      </c>
      <c r="O80" s="190">
        <f>[1]DOUBLE!J9/[1]DOUBLE!D9*O79</f>
        <v>0.95869565217391317</v>
      </c>
      <c r="P80" s="191">
        <f>[1]DOUBLE!J9/[1]DOUBLE!D9*P79</f>
        <v>1.1266680824774116</v>
      </c>
      <c r="R80" s="168"/>
      <c r="S80" s="168"/>
      <c r="T80" s="168"/>
      <c r="U80" s="168"/>
      <c r="V80" s="168"/>
      <c r="W80" s="168"/>
      <c r="X80" s="168"/>
      <c r="Y80" s="168"/>
      <c r="Z80" s="168"/>
      <c r="AA80" s="168"/>
    </row>
    <row r="81" spans="1:27" ht="15.75">
      <c r="A81" s="51"/>
      <c r="B81" s="163" t="s">
        <v>117</v>
      </c>
      <c r="C81" s="195">
        <f>MAX(25,D70)</f>
        <v>25</v>
      </c>
      <c r="D81" s="168"/>
      <c r="E81" s="168"/>
      <c r="F81" s="184" t="s">
        <v>117</v>
      </c>
      <c r="G81" s="195">
        <f>MAX(25,H70)</f>
        <v>25</v>
      </c>
      <c r="H81" s="168"/>
      <c r="I81" s="168"/>
      <c r="J81" s="168"/>
      <c r="K81" s="158"/>
      <c r="L81" s="141"/>
      <c r="M81" s="184"/>
      <c r="N81" s="184" t="s">
        <v>118</v>
      </c>
      <c r="O81" s="213">
        <f>(2*(E14-[1]DOUBLE!G9)-20-D70)/(Q68-1)</f>
        <v>140</v>
      </c>
      <c r="P81" s="178">
        <f>(2*(E14-[1]DOUBLE!G9)-20-H70)/(R68-1)</f>
        <v>186.66666666666666</v>
      </c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</row>
    <row r="82" spans="1:27" ht="16.5">
      <c r="A82" s="51"/>
      <c r="B82" s="163" t="s">
        <v>119</v>
      </c>
      <c r="C82" s="156">
        <f>(2*(E14-[1]DOUBLE!G9-C85)-C77*D70)/(C77-1)</f>
        <v>121</v>
      </c>
      <c r="D82" s="214" t="str">
        <f>C77&amp;[1]DOUBLE!M1&amp;D70&amp;" B"</f>
        <v>5 T20 B</v>
      </c>
      <c r="E82" s="168"/>
      <c r="F82" s="184" t="s">
        <v>119</v>
      </c>
      <c r="G82" s="156">
        <f>(2*(E14-[1]DOUBLE!G9-C89)-G77*H70)/(G77-1)</f>
        <v>168</v>
      </c>
      <c r="H82" s="214" t="str">
        <f>G77&amp;[1]DOUBLE!M1&amp;H70&amp;" B"</f>
        <v>4 T20 B</v>
      </c>
      <c r="I82" s="168"/>
      <c r="J82" s="168"/>
      <c r="K82" s="158"/>
      <c r="L82" s="141"/>
      <c r="M82" s="184"/>
      <c r="N82" s="184"/>
      <c r="O82" s="213">
        <f>CEILING((Q68-1)/FLOOR(300/O81,1)+1,1)</f>
        <v>3</v>
      </c>
      <c r="P82" s="215">
        <f>CEILING((R68-1)/FLOOR(300/P81,1)+1,1)</f>
        <v>4</v>
      </c>
      <c r="S82" s="168"/>
      <c r="T82" s="168"/>
      <c r="U82" s="168"/>
      <c r="V82" s="168"/>
      <c r="W82" s="168"/>
      <c r="X82" s="168"/>
      <c r="Y82" s="168"/>
      <c r="Z82" s="168"/>
      <c r="AA82" s="168"/>
    </row>
    <row r="83" spans="1:27" ht="15.75">
      <c r="A83" s="51"/>
      <c r="B83" s="163"/>
      <c r="C83" s="168"/>
      <c r="D83" s="168"/>
      <c r="E83" s="168"/>
      <c r="F83" s="184"/>
      <c r="G83" s="168"/>
      <c r="H83" s="168"/>
      <c r="I83" s="168"/>
      <c r="J83" s="168"/>
      <c r="K83" s="158"/>
      <c r="L83" s="141"/>
      <c r="M83" s="184"/>
      <c r="N83" s="184" t="s">
        <v>120</v>
      </c>
      <c r="O83" s="213">
        <f>MAX(ROUNDUP((2*(E14-[1]DOUBLE!G9)-12)/MIN(450,O62),0),2,O82)</f>
        <v>3</v>
      </c>
      <c r="P83" s="215">
        <f>MAX(ROUNDUP((2*(E14-[1]DOUBLE!G9)-12)/MIN(450,P62),0),2,P82)</f>
        <v>4</v>
      </c>
      <c r="S83" s="168"/>
      <c r="T83" s="168"/>
      <c r="U83" s="168"/>
      <c r="V83" s="168"/>
      <c r="W83" s="168"/>
      <c r="X83" s="168"/>
      <c r="Y83" s="168"/>
      <c r="Z83" s="168"/>
      <c r="AA83" s="168"/>
    </row>
    <row r="84" spans="1:27" ht="15.75">
      <c r="A84" s="51"/>
      <c r="B84" s="161" t="s">
        <v>121</v>
      </c>
      <c r="C84" s="168"/>
      <c r="D84" s="69" t="s">
        <v>122</v>
      </c>
      <c r="E84" s="195">
        <f>0.3*C18</f>
        <v>112.5</v>
      </c>
      <c r="F84" s="97" t="s">
        <v>123</v>
      </c>
      <c r="G84" s="168"/>
      <c r="J84" s="168"/>
      <c r="K84" s="158"/>
      <c r="L84" s="141"/>
      <c r="M84" s="216"/>
      <c r="N84" s="184" t="s">
        <v>124</v>
      </c>
      <c r="O84" s="213">
        <f>MIN(1+Q68,O83)</f>
        <v>3</v>
      </c>
      <c r="P84" s="215">
        <f>MIN(1+R68,P83)</f>
        <v>4</v>
      </c>
      <c r="S84" s="168"/>
      <c r="T84" s="168"/>
      <c r="U84" s="168"/>
      <c r="V84" s="168"/>
      <c r="W84" s="168"/>
      <c r="X84" s="168"/>
      <c r="Y84" s="168"/>
      <c r="Z84" s="168"/>
      <c r="AA84" s="168"/>
    </row>
    <row r="85" spans="1:27" ht="15.75">
      <c r="A85" s="51"/>
      <c r="B85" s="217" t="s">
        <v>125</v>
      </c>
      <c r="C85" s="218">
        <f>VLOOKUP(O85,[1]DOUBLE!O1:P8,2)</f>
        <v>8</v>
      </c>
      <c r="D85" s="168" t="s">
        <v>126</v>
      </c>
      <c r="E85" s="157"/>
      <c r="F85" s="157"/>
      <c r="G85" s="157"/>
      <c r="H85" s="157"/>
      <c r="I85" s="157"/>
      <c r="J85" s="157"/>
      <c r="K85" s="158"/>
      <c r="L85" s="141"/>
      <c r="M85" s="216"/>
      <c r="N85" s="174" t="s">
        <v>127</v>
      </c>
      <c r="O85" s="179">
        <f>O80*MIN(0.75*O62,450)/O84</f>
        <v>72.501358695652186</v>
      </c>
      <c r="P85" s="183">
        <f>P80*MIN(0.75*P62,450)/P84</f>
        <v>58.621948666402822</v>
      </c>
      <c r="S85" s="168"/>
      <c r="T85" s="168"/>
      <c r="U85" s="168"/>
      <c r="V85" s="168"/>
      <c r="W85" s="168"/>
      <c r="X85" s="168"/>
      <c r="Y85" s="168"/>
      <c r="Z85" s="168"/>
      <c r="AA85" s="168"/>
    </row>
    <row r="86" spans="1:27" ht="15.75">
      <c r="A86" s="51"/>
      <c r="B86" s="163" t="s">
        <v>110</v>
      </c>
      <c r="C86" s="219">
        <f>MAX(D59:E61)</f>
        <v>265.40126520016395</v>
      </c>
      <c r="D86" s="69" t="s">
        <v>92</v>
      </c>
      <c r="E86" s="220">
        <f>O74</f>
        <v>1050</v>
      </c>
      <c r="F86" s="38" t="s">
        <v>128</v>
      </c>
      <c r="G86" s="221">
        <f>100*C78/E86/C72</f>
        <v>0.48729527742978024</v>
      </c>
      <c r="H86" s="222" t="str">
        <f>IF(C86=0,"NO CRITICAL SHEAR PLANE",".")</f>
        <v>.</v>
      </c>
      <c r="I86" s="168"/>
      <c r="J86" s="168"/>
      <c r="K86" s="158"/>
      <c r="L86" s="141"/>
      <c r="M86" s="216"/>
      <c r="S86" s="168"/>
      <c r="T86" s="168"/>
      <c r="U86" s="168"/>
      <c r="V86" s="168"/>
      <c r="W86" s="168"/>
      <c r="X86" s="168"/>
      <c r="Y86" s="168"/>
      <c r="Z86" s="168"/>
      <c r="AA86" s="168"/>
    </row>
    <row r="87" spans="1:27" ht="15.75">
      <c r="A87" s="51"/>
      <c r="B87" s="163" t="s">
        <v>129</v>
      </c>
      <c r="C87" s="223">
        <f>E15/2-E84</f>
        <v>537.5</v>
      </c>
      <c r="D87" s="69" t="s">
        <v>111</v>
      </c>
      <c r="E87" s="224">
        <f>1000*C86/E86/C72</f>
        <v>0.82333260493303528</v>
      </c>
      <c r="F87" s="225" t="str">
        <f>IF(2*C$80&gt;C87,"vc 2d/av =","vc =")</f>
        <v>vc 2d/av =</v>
      </c>
      <c r="G87" s="224">
        <f>MAX(1,2*C72/C87)*0.632*MAX(1,400/C72)^0.25*MIN(3,G86)^0.3333333*(MIN([1]DOUBLE!D8,40)/25)^0.3333333</f>
        <v>0.67901203158473078</v>
      </c>
      <c r="H87" s="222"/>
      <c r="I87" s="157"/>
      <c r="J87" s="157"/>
      <c r="K87" s="158"/>
      <c r="L87" s="141"/>
      <c r="M87" s="216"/>
      <c r="N87" s="168"/>
      <c r="O87" s="194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</row>
    <row r="88" spans="1:27" ht="16.5">
      <c r="A88" s="51"/>
      <c r="B88" s="163" t="s">
        <v>114</v>
      </c>
      <c r="C88" s="226">
        <f>MAX(E87-G87,0.4)*E86</f>
        <v>420</v>
      </c>
      <c r="D88" s="69" t="s">
        <v>130</v>
      </c>
      <c r="E88" s="97">
        <f>O84</f>
        <v>3</v>
      </c>
      <c r="F88" s="184" t="s">
        <v>131</v>
      </c>
      <c r="G88" s="97">
        <f>FLOOR(PI()/4*C85^2*[1]DOUBLE!D9/[1]DOUBLE!J9/C88*E88,25)</f>
        <v>150</v>
      </c>
      <c r="H88" s="214" t="str">
        <f>E88&amp;" Legs"&amp;[1]DOUBLE!M1&amp;C85&amp;" @ "&amp;G88&amp;" LINKS"</f>
        <v>3 Legs T8 @ 150 LINKS</v>
      </c>
      <c r="I88" s="168"/>
      <c r="J88" s="168"/>
      <c r="K88" s="158"/>
      <c r="L88" s="141"/>
      <c r="M88" s="216" t="str">
        <f>FIXED(PI()/4*C$85^2*E88/G88*[1]DOUBLE!D$9/[1]DOUBLE!J$9,1)</f>
        <v>440.4</v>
      </c>
      <c r="N88" s="162"/>
      <c r="O88" s="255"/>
      <c r="P88" s="255"/>
      <c r="Q88" s="255"/>
      <c r="R88" s="255"/>
      <c r="S88" s="255"/>
      <c r="T88" s="168"/>
      <c r="U88" s="168"/>
      <c r="V88" s="168"/>
      <c r="W88" s="168"/>
      <c r="X88" s="168"/>
      <c r="Y88" s="168"/>
      <c r="Z88" s="168"/>
      <c r="AA88" s="168"/>
    </row>
    <row r="89" spans="1:27" ht="15.75">
      <c r="A89" s="51"/>
      <c r="B89" s="217" t="s">
        <v>57</v>
      </c>
      <c r="C89" s="218">
        <f>VLOOKUP(P85,[1]DOUBLE!O1:P8,2)</f>
        <v>8</v>
      </c>
      <c r="D89" s="168" t="s">
        <v>126</v>
      </c>
      <c r="E89" s="157"/>
      <c r="F89" s="157"/>
      <c r="G89" s="157"/>
      <c r="H89" s="157"/>
      <c r="I89" s="157"/>
      <c r="J89" s="157"/>
      <c r="K89" s="158"/>
      <c r="L89" s="141"/>
      <c r="M89" s="227"/>
      <c r="N89" s="69"/>
      <c r="O89" s="162"/>
      <c r="P89" s="162"/>
      <c r="Q89" s="162"/>
      <c r="R89" s="162"/>
      <c r="S89" s="162"/>
      <c r="T89" s="168"/>
      <c r="U89" s="168"/>
      <c r="V89" s="168"/>
      <c r="W89" s="168"/>
      <c r="X89" s="168"/>
      <c r="Y89" s="168"/>
      <c r="Z89" s="168"/>
      <c r="AA89" s="168"/>
    </row>
    <row r="90" spans="1:27" ht="15.75">
      <c r="A90" s="51"/>
      <c r="B90" s="163" t="s">
        <v>110</v>
      </c>
      <c r="C90" s="219">
        <f>MAX(C59:C61)</f>
        <v>189.86362344582582</v>
      </c>
      <c r="D90" s="69" t="s">
        <v>92</v>
      </c>
      <c r="E90" s="228">
        <f>P74</f>
        <v>1233.9698046181172</v>
      </c>
      <c r="F90" s="229" t="s">
        <v>128</v>
      </c>
      <c r="G90" s="230">
        <f>100*G78/E90/G72</f>
        <v>0.35483253561635203</v>
      </c>
      <c r="H90" s="222" t="str">
        <f>IF(C90=0,"NO CRITICAL SHEAR PLANE",".")</f>
        <v>.</v>
      </c>
      <c r="I90" s="168"/>
      <c r="J90" s="168"/>
      <c r="K90" s="158"/>
      <c r="L90" s="141"/>
      <c r="M90" s="97"/>
      <c r="N90" s="69"/>
      <c r="O90" s="177"/>
      <c r="P90" s="177"/>
      <c r="Q90" s="177"/>
      <c r="R90" s="177"/>
      <c r="S90" s="177"/>
      <c r="T90" s="168"/>
      <c r="U90" s="168"/>
      <c r="V90" s="168"/>
      <c r="W90" s="168"/>
      <c r="X90" s="168"/>
      <c r="Y90" s="168"/>
      <c r="Z90" s="168"/>
      <c r="AA90" s="168"/>
    </row>
    <row r="91" spans="1:27" ht="15.75">
      <c r="A91" s="51"/>
      <c r="B91" s="163" t="s">
        <v>129</v>
      </c>
      <c r="C91" s="223">
        <f>E16-E17-E84</f>
        <v>638.16666666666674</v>
      </c>
      <c r="D91" s="69" t="s">
        <v>111</v>
      </c>
      <c r="E91" s="224">
        <f>1000*C90/E90/G72</f>
        <v>0.53611176206763655</v>
      </c>
      <c r="F91" s="225" t="str">
        <f>IF(2*C$80&gt;C91,"vc 2d/av =","vc =")</f>
        <v>vc =</v>
      </c>
      <c r="G91" s="224">
        <f>MAX(1,2*G72/C91)*0.632*MAX(1,400/C72)^0.25*MIN(3,G90)^0.3333333*(MIN([1]DOUBLE!D8,40)/25)^0.3333333</f>
        <v>0.53476706117033668</v>
      </c>
      <c r="H91" s="222"/>
      <c r="I91" s="168"/>
      <c r="J91" s="168"/>
      <c r="K91" s="158"/>
      <c r="L91" s="141"/>
      <c r="N91" s="69"/>
      <c r="O91" s="162"/>
      <c r="P91" s="162"/>
      <c r="Q91" s="162"/>
      <c r="R91" s="162"/>
      <c r="S91" s="162"/>
      <c r="T91" s="168"/>
      <c r="U91" s="168"/>
      <c r="V91" s="168"/>
      <c r="W91" s="168"/>
      <c r="X91" s="168"/>
      <c r="Y91" s="168"/>
      <c r="Z91" s="168"/>
      <c r="AA91" s="168"/>
    </row>
    <row r="92" spans="1:27" ht="16.5">
      <c r="A92" s="51"/>
      <c r="B92" s="163" t="s">
        <v>114</v>
      </c>
      <c r="C92" s="226">
        <f>MAX(E91-G91,0.4)*E90</f>
        <v>493.58792184724689</v>
      </c>
      <c r="D92" s="69" t="s">
        <v>130</v>
      </c>
      <c r="E92" s="97">
        <f>P84</f>
        <v>4</v>
      </c>
      <c r="F92" s="184" t="s">
        <v>131</v>
      </c>
      <c r="G92" s="97">
        <f>FLOOR(PI()/4*C89^2*[1]DOUBLE!D9/[1]DOUBLE!J9/C92*E92,25)</f>
        <v>175</v>
      </c>
      <c r="H92" s="214" t="str">
        <f>E92&amp;" Legs"&amp;[1]DOUBLE!M1&amp;C89&amp;" @ "&amp;G92&amp;" LINKS"</f>
        <v>4 Legs T8 @ 175 LINKS</v>
      </c>
      <c r="I92" s="168"/>
      <c r="J92" s="168"/>
      <c r="K92" s="158"/>
      <c r="L92" s="141"/>
      <c r="M92" s="216" t="str">
        <f>FIXED(PI()/4*C$89^2*E92/G92*[1]DOUBLE!D$9/[1]DOUBLE!J$9,1)</f>
        <v>503.3</v>
      </c>
      <c r="N92" s="69"/>
      <c r="O92" s="177"/>
      <c r="P92" s="177"/>
      <c r="Q92" s="177"/>
      <c r="R92" s="177"/>
      <c r="S92" s="177"/>
      <c r="T92" s="168"/>
      <c r="U92" s="168"/>
      <c r="V92" s="168"/>
      <c r="W92" s="168"/>
      <c r="X92" s="168"/>
      <c r="Y92" s="168"/>
      <c r="Z92" s="168"/>
      <c r="AA92" s="168"/>
    </row>
    <row r="93" spans="1:27" ht="16.5">
      <c r="A93" s="51"/>
      <c r="B93" s="163"/>
      <c r="C93" s="226"/>
      <c r="D93" s="69"/>
      <c r="E93" s="97"/>
      <c r="F93" s="184"/>
      <c r="G93" s="97"/>
      <c r="H93" s="214"/>
      <c r="I93" s="168"/>
      <c r="J93" s="168"/>
      <c r="K93" s="158"/>
      <c r="L93" s="141"/>
      <c r="M93" s="216"/>
      <c r="N93" s="38" t="s">
        <v>132</v>
      </c>
      <c r="O93" s="231">
        <f>MIN(E15/2-C15/2,E17-C16/2,E16-E17-C16/2)-0.3*C18</f>
        <v>112.83333333333331</v>
      </c>
      <c r="P93" s="177"/>
      <c r="Q93" s="177"/>
      <c r="R93" s="177"/>
      <c r="S93" s="177"/>
      <c r="T93" s="168"/>
      <c r="U93" s="168"/>
      <c r="V93" s="168"/>
      <c r="W93" s="168"/>
      <c r="X93" s="168"/>
      <c r="Y93" s="168"/>
      <c r="Z93" s="168"/>
      <c r="AA93" s="168"/>
    </row>
    <row r="94" spans="1:27" ht="15.75">
      <c r="A94" s="51"/>
      <c r="B94" s="161" t="s">
        <v>133</v>
      </c>
      <c r="C94" s="232" t="s">
        <v>134</v>
      </c>
      <c r="E94" s="69"/>
      <c r="F94" s="233" t="str">
        <f>IF(O93&gt;O94,"At 1.5 d",IF(MAX(E15,M19)&gt;3*C18,"At Fig 3.23 critical section","No other critical section"))</f>
        <v>At Fig 3.23 critical section</v>
      </c>
      <c r="G94" s="184"/>
      <c r="H94" s="97"/>
      <c r="I94" s="168"/>
      <c r="J94" s="168"/>
      <c r="K94" s="158"/>
      <c r="L94" s="141"/>
      <c r="M94" s="216"/>
      <c r="N94" s="38" t="s">
        <v>135</v>
      </c>
      <c r="O94" s="231">
        <f>0.75*(C72+G72)</f>
        <v>445.5</v>
      </c>
      <c r="P94" s="177"/>
      <c r="Q94" s="177"/>
      <c r="R94" s="177"/>
      <c r="S94" s="177"/>
      <c r="T94" s="168"/>
      <c r="U94" s="168"/>
      <c r="V94" s="168"/>
      <c r="W94" s="168"/>
      <c r="X94" s="168"/>
      <c r="Y94" s="168"/>
      <c r="Z94" s="168"/>
      <c r="AA94" s="168"/>
    </row>
    <row r="95" spans="1:27" ht="15.75">
      <c r="A95" s="51"/>
      <c r="B95" s="163" t="s">
        <v>110</v>
      </c>
      <c r="C95" s="231">
        <f>MAX(1.4*C23+1.6*D23,C23+1.4*E23,1.2*SUM(C23:E23))</f>
        <v>686.81999999999994</v>
      </c>
      <c r="E95" s="234" t="s">
        <v>136</v>
      </c>
      <c r="F95" s="235">
        <f>2*(O95+O96)</f>
        <v>4166.6666666666661</v>
      </c>
      <c r="G95" s="69" t="s">
        <v>137</v>
      </c>
      <c r="H95" s="97">
        <f>(C72+G72)/2</f>
        <v>297</v>
      </c>
      <c r="I95" s="168"/>
      <c r="J95" s="168"/>
      <c r="K95" s="158"/>
      <c r="L95" s="141"/>
      <c r="M95" s="216"/>
      <c r="N95" s="69" t="s">
        <v>138</v>
      </c>
      <c r="O95" s="231">
        <f>MIN(2*O94+C15,E15-0.6*C18)</f>
        <v>1075</v>
      </c>
      <c r="P95" s="226">
        <f>E15/2-0.3*C18</f>
        <v>537.5</v>
      </c>
      <c r="Q95" s="177"/>
      <c r="R95" s="177"/>
      <c r="S95" s="177"/>
      <c r="T95" s="168"/>
      <c r="U95" s="168"/>
      <c r="V95" s="168"/>
      <c r="W95" s="168"/>
      <c r="X95" s="168"/>
      <c r="Y95" s="168"/>
      <c r="Z95" s="168"/>
      <c r="AA95" s="168"/>
    </row>
    <row r="96" spans="1:27" ht="15.75">
      <c r="A96" s="51"/>
      <c r="B96" s="163" t="s">
        <v>111</v>
      </c>
      <c r="C96" s="230">
        <f>1000*C95/(C15+C16)/(C72+G72)</f>
        <v>1.9271043771043768</v>
      </c>
      <c r="E96" s="174" t="s">
        <v>111</v>
      </c>
      <c r="F96" s="230">
        <f>IF(F94="No other critical section",0,1000*C95/F95/H95)</f>
        <v>0.5550060606060605</v>
      </c>
      <c r="G96" s="38" t="s">
        <v>129</v>
      </c>
      <c r="H96" s="231">
        <f>(P95+P96)/2</f>
        <v>494</v>
      </c>
      <c r="I96" s="168"/>
      <c r="J96" s="168"/>
      <c r="K96" s="158"/>
      <c r="L96" s="141"/>
      <c r="M96" s="216"/>
      <c r="N96" s="69" t="s">
        <v>139</v>
      </c>
      <c r="O96" s="231">
        <f>MIN(O94,E17-0.3*C18)+MIN(O94,E16-E17-0.3*C18)+C16</f>
        <v>1008.3333333333333</v>
      </c>
      <c r="P96" s="226">
        <f>E16/2-0.3*C18</f>
        <v>450.5</v>
      </c>
      <c r="Q96" s="177"/>
      <c r="R96" s="177"/>
      <c r="S96" s="177"/>
      <c r="T96" s="168"/>
      <c r="U96" s="168"/>
      <c r="V96" s="168"/>
      <c r="W96" s="168"/>
      <c r="X96" s="168"/>
      <c r="Y96" s="168"/>
      <c r="Z96" s="168"/>
      <c r="AA96" s="168"/>
    </row>
    <row r="97" spans="1:27" ht="15.75">
      <c r="A97" s="51"/>
      <c r="B97" s="163" t="s">
        <v>140</v>
      </c>
      <c r="C97" s="230">
        <f>[1]DOUBLE!N5</f>
        <v>4.7328638264796927</v>
      </c>
      <c r="D97" s="236" t="str">
        <f>IF(C96&gt;C97,"FAILS","ok")</f>
        <v>ok</v>
      </c>
      <c r="E97" s="225" t="s">
        <v>113</v>
      </c>
      <c r="F97" s="230">
        <f>MAX(1,2*H95/H96)*0.632*MAX(1,400/H95)^0.25*MIN(3,O97)^0.3333333*(MIN([1]DOUBLE!D8,40)/25)^0.3333333</f>
        <v>0.65476114240833605</v>
      </c>
      <c r="G97" s="184"/>
      <c r="H97" s="236" t="str">
        <f>IF(F96&gt;F97,"FAILS","ok")</f>
        <v>ok</v>
      </c>
      <c r="I97" s="168"/>
      <c r="J97" s="168"/>
      <c r="K97" s="158"/>
      <c r="L97" s="141"/>
      <c r="M97" s="216"/>
      <c r="N97" s="234" t="s">
        <v>141</v>
      </c>
      <c r="O97" s="237">
        <f>100*(C78/C71/C72+G78/G71/G72)/2</f>
        <v>0.36543761597489649</v>
      </c>
      <c r="P97" s="177"/>
      <c r="Q97" s="177"/>
      <c r="R97" s="177"/>
      <c r="S97" s="177"/>
      <c r="T97" s="168"/>
      <c r="U97" s="168"/>
      <c r="V97" s="168"/>
      <c r="W97" s="168"/>
      <c r="X97" s="168"/>
      <c r="Y97" s="168"/>
      <c r="Z97" s="168"/>
      <c r="AA97" s="168"/>
    </row>
    <row r="98" spans="1:27" s="136" customFormat="1" ht="16.5" thickBot="1">
      <c r="A98" s="128"/>
      <c r="B98" s="238"/>
      <c r="C98" s="239"/>
      <c r="D98" s="240"/>
      <c r="E98" s="241"/>
      <c r="F98" s="239"/>
      <c r="G98" s="242"/>
      <c r="H98" s="240"/>
      <c r="I98" s="243"/>
      <c r="J98" s="243"/>
      <c r="K98" s="244"/>
      <c r="L98" s="245"/>
      <c r="M98" s="184"/>
      <c r="N98" s="69"/>
      <c r="O98" s="231"/>
      <c r="P98" s="162"/>
      <c r="Q98" s="162"/>
      <c r="R98" s="162"/>
      <c r="S98" s="162"/>
      <c r="T98" s="246"/>
      <c r="U98" s="246"/>
      <c r="V98" s="246"/>
      <c r="W98" s="246"/>
      <c r="X98" s="246"/>
      <c r="Y98" s="246"/>
      <c r="Z98" s="246"/>
      <c r="AA98" s="246"/>
    </row>
    <row r="99" spans="1:27" ht="16.5" thickTop="1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O99" s="231"/>
      <c r="T99" s="246"/>
      <c r="U99" s="246"/>
      <c r="V99" s="246"/>
      <c r="W99" s="246"/>
      <c r="X99" s="246"/>
      <c r="Y99" s="246"/>
      <c r="Z99" s="246"/>
      <c r="AA99" s="246"/>
    </row>
    <row r="100" spans="1:27" s="1" customFormat="1" ht="15.75">
      <c r="D100" s="249"/>
      <c r="E100" s="250" t="s">
        <v>142</v>
      </c>
      <c r="F100" s="249"/>
      <c r="G100" s="249"/>
      <c r="T100" s="18"/>
      <c r="U100" s="18"/>
      <c r="V100" s="18"/>
      <c r="W100" s="18"/>
      <c r="X100" s="18"/>
      <c r="Y100" s="18"/>
      <c r="Z100" s="18"/>
      <c r="AA100" s="18"/>
    </row>
    <row r="101" spans="1:27" s="1" customFormat="1" ht="18.75">
      <c r="D101" s="249"/>
      <c r="E101" s="251" t="s">
        <v>143</v>
      </c>
      <c r="F101" s="249"/>
      <c r="G101" s="249"/>
    </row>
    <row r="102" spans="1:27" s="1" customFormat="1" ht="15.75">
      <c r="D102" s="249"/>
      <c r="E102" s="250" t="s">
        <v>144</v>
      </c>
      <c r="F102" s="249"/>
      <c r="G102" s="249"/>
    </row>
    <row r="103" spans="1:27" s="1" customFormat="1" ht="20.25">
      <c r="D103" s="249"/>
      <c r="E103" s="252" t="s">
        <v>145</v>
      </c>
      <c r="F103" s="249"/>
      <c r="G103" s="249"/>
    </row>
    <row r="104" spans="1:27">
      <c r="D104" s="248"/>
      <c r="E104" s="248"/>
      <c r="F104" s="248"/>
      <c r="G104" s="248"/>
    </row>
  </sheetData>
  <sheetProtection algorithmName="SHA-512" hashValue="aQSzZq4BWw5MD+C/nMFVkn63nm82s03ALDTjCIXSjbrDpkkIYYafs0tLGm3L4ooixB+MoIb+0l4bYtMrT1mv0w==" saltValue="1yd1M3pa9jcJggPkM8RMIA==" spinCount="100000" sheet="1" objects="1" scenarios="1"/>
  <mergeCells count="32">
    <mergeCell ref="B14:C14"/>
    <mergeCell ref="G7:H8"/>
    <mergeCell ref="I7:K7"/>
    <mergeCell ref="G9:H10"/>
    <mergeCell ref="L10:L11"/>
    <mergeCell ref="D13:E13"/>
    <mergeCell ref="C65:D65"/>
    <mergeCell ref="E65:F65"/>
    <mergeCell ref="G65:H65"/>
    <mergeCell ref="N20:Q20"/>
    <mergeCell ref="J21:K21"/>
    <mergeCell ref="H23:K24"/>
    <mergeCell ref="H36:J36"/>
    <mergeCell ref="H44:J44"/>
    <mergeCell ref="G47:H48"/>
    <mergeCell ref="I47:K47"/>
    <mergeCell ref="O72:P72"/>
    <mergeCell ref="O88:S88"/>
    <mergeCell ref="A1:XFD2"/>
    <mergeCell ref="A3:XFD3"/>
    <mergeCell ref="A4:XFD4"/>
    <mergeCell ref="C66:D66"/>
    <mergeCell ref="E66:F66"/>
    <mergeCell ref="G66:H66"/>
    <mergeCell ref="C67:D67"/>
    <mergeCell ref="E67:F67"/>
    <mergeCell ref="G67:H67"/>
    <mergeCell ref="G49:H50"/>
    <mergeCell ref="O60:P60"/>
    <mergeCell ref="C64:D64"/>
    <mergeCell ref="E64:F64"/>
    <mergeCell ref="G64:H64"/>
  </mergeCells>
  <conditionalFormatting sqref="L22">
    <cfRule type="expression" dxfId="23" priority="1" stopIfTrue="1">
      <formula>MIN($M$19,$E$15)&lt;$C$19</formula>
    </cfRule>
  </conditionalFormatting>
  <conditionalFormatting sqref="C19">
    <cfRule type="cellIs" dxfId="22" priority="2" stopIfTrue="1" operator="greaterThan">
      <formula>MIN($M$19,$E$15)</formula>
    </cfRule>
  </conditionalFormatting>
  <conditionalFormatting sqref="C57:E57">
    <cfRule type="cellIs" dxfId="21" priority="3" stopIfTrue="1" operator="greaterThan">
      <formula>$D$15</formula>
    </cfRule>
    <cfRule type="cellIs" dxfId="20" priority="4" stopIfTrue="1" operator="lessThan">
      <formula>0</formula>
    </cfRule>
  </conditionalFormatting>
  <conditionalFormatting sqref="C58:E58">
    <cfRule type="cellIs" dxfId="19" priority="5" stopIfTrue="1" operator="greaterThan">
      <formula>$D$15*1.25</formula>
    </cfRule>
    <cfRule type="cellIs" dxfId="18" priority="6" stopIfTrue="1" operator="lessThan">
      <formula>0</formula>
    </cfRule>
  </conditionalFormatting>
  <conditionalFormatting sqref="C59:E61">
    <cfRule type="cellIs" dxfId="17" priority="7" stopIfTrue="1" operator="lessThan">
      <formula>0</formula>
    </cfRule>
  </conditionalFormatting>
  <conditionalFormatting sqref="C80">
    <cfRule type="cellIs" dxfId="16" priority="8" stopIfTrue="1" operator="lessThan">
      <formula>C82</formula>
    </cfRule>
  </conditionalFormatting>
  <conditionalFormatting sqref="G80">
    <cfRule type="cellIs" dxfId="15" priority="9" stopIfTrue="1" operator="lessThan">
      <formula>$G$82</formula>
    </cfRule>
  </conditionalFormatting>
  <conditionalFormatting sqref="C81">
    <cfRule type="cellIs" dxfId="14" priority="10" stopIfTrue="1" operator="greaterThan">
      <formula>$C$82</formula>
    </cfRule>
  </conditionalFormatting>
  <conditionalFormatting sqref="G81">
    <cfRule type="cellIs" dxfId="13" priority="11" stopIfTrue="1" operator="greaterThan">
      <formula>$G$82</formula>
    </cfRule>
  </conditionalFormatting>
  <conditionalFormatting sqref="C33">
    <cfRule type="expression" dxfId="12" priority="12" stopIfTrue="1">
      <formula>$E$87&gt;$G$87</formula>
    </cfRule>
  </conditionalFormatting>
  <conditionalFormatting sqref="C41">
    <cfRule type="expression" dxfId="11" priority="13" stopIfTrue="1">
      <formula>$E$91&gt;$G$91</formula>
    </cfRule>
  </conditionalFormatting>
  <conditionalFormatting sqref="E16">
    <cfRule type="cellIs" dxfId="10" priority="14" stopIfTrue="1" operator="equal">
      <formula>$M$8</formula>
    </cfRule>
  </conditionalFormatting>
  <conditionalFormatting sqref="E17">
    <cfRule type="cellIs" dxfId="9" priority="15" stopIfTrue="1" operator="equal">
      <formula>$M$7</formula>
    </cfRule>
  </conditionalFormatting>
  <conditionalFormatting sqref="H27:J27">
    <cfRule type="cellIs" dxfId="8" priority="16" stopIfTrue="1" operator="greaterThan">
      <formula>$M$13</formula>
    </cfRule>
    <cfRule type="cellIs" dxfId="7" priority="17" stopIfTrue="1" operator="lessThan">
      <formula>0</formula>
    </cfRule>
  </conditionalFormatting>
  <conditionalFormatting sqref="H28:J28">
    <cfRule type="cellIs" dxfId="6" priority="18" stopIfTrue="1" operator="greaterThan">
      <formula>$M$13*1.25</formula>
    </cfRule>
    <cfRule type="cellIs" dxfId="5" priority="19" stopIfTrue="1" operator="lessThan">
      <formula>0</formula>
    </cfRule>
  </conditionalFormatting>
  <conditionalFormatting sqref="H23:K24">
    <cfRule type="cellIs" dxfId="4" priority="20" stopIfTrue="1" operator="equal">
      <formula>"VALID DESIGN"</formula>
    </cfRule>
    <cfRule type="cellIs" dxfId="3" priority="21" stopIfTrue="1" operator="equal">
      <formula>"PILE IN TENSION."</formula>
    </cfRule>
  </conditionalFormatting>
  <conditionalFormatting sqref="D97">
    <cfRule type="cellIs" dxfId="2" priority="22" stopIfTrue="1" operator="equal">
      <formula>"ok"</formula>
    </cfRule>
  </conditionalFormatting>
  <conditionalFormatting sqref="E95:H97">
    <cfRule type="cellIs" dxfId="1" priority="23" stopIfTrue="1" operator="equal">
      <formula>"ok"</formula>
    </cfRule>
    <cfRule type="expression" dxfId="0" priority="24" stopIfTrue="1">
      <formula>$F$94="No other critical section"</formula>
    </cfRule>
  </conditionalFormatting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CorelDRAW.Graphic.9" shapeId="1025" r:id="rId4">
          <objectPr defaultSize="0" autoPict="0" r:id="rId5">
            <anchor moveWithCells="1">
              <from>
                <xdr:col>11</xdr:col>
                <xdr:colOff>295275</xdr:colOff>
                <xdr:row>24</xdr:row>
                <xdr:rowOff>57150</xdr:rowOff>
              </from>
              <to>
                <xdr:col>11</xdr:col>
                <xdr:colOff>1543050</xdr:colOff>
                <xdr:row>27</xdr:row>
                <xdr:rowOff>200025</xdr:rowOff>
              </to>
            </anchor>
          </objectPr>
        </oleObject>
      </mc:Choice>
      <mc:Fallback>
        <oleObject progId="CorelDRAW.Graphic.9" shapeId="1025" r:id="rId4"/>
      </mc:Fallback>
    </mc:AlternateContent>
    <mc:AlternateContent xmlns:mc="http://schemas.openxmlformats.org/markup-compatibility/2006">
      <mc:Choice Requires="x14">
        <oleObject progId="CorelDRAW.Graphic.9" shapeId="1027" r:id="rId6">
          <objectPr defaultSize="0" autoPict="0" r:id="rId7">
            <anchor moveWithCells="1">
              <from>
                <xdr:col>8</xdr:col>
                <xdr:colOff>171450</xdr:colOff>
                <xdr:row>12</xdr:row>
                <xdr:rowOff>0</xdr:rowOff>
              </from>
              <to>
                <xdr:col>11</xdr:col>
                <xdr:colOff>352425</xdr:colOff>
                <xdr:row>19</xdr:row>
                <xdr:rowOff>142875</xdr:rowOff>
              </to>
            </anchor>
          </objectPr>
        </oleObject>
      </mc:Choice>
      <mc:Fallback>
        <oleObject progId="CorelDRAW.Graphic.9" shapeId="1027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1]!Summary3">
                <anchor moveWithCells="1">
                  <from>
                    <xdr:col>11</xdr:col>
                    <xdr:colOff>600075</xdr:colOff>
                    <xdr:row>18</xdr:row>
                    <xdr:rowOff>57150</xdr:rowOff>
                  </from>
                  <to>
                    <xdr:col>11</xdr:col>
                    <xdr:colOff>1581150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Button 5">
              <controlPr defaultSize="0" print="0" autoFill="0" autoPict="0" macro="[1]!Details3">
                <anchor moveWithCells="1">
                  <from>
                    <xdr:col>11</xdr:col>
                    <xdr:colOff>1581150</xdr:colOff>
                    <xdr:row>18</xdr:row>
                    <xdr:rowOff>57150</xdr:rowOff>
                  </from>
                  <to>
                    <xdr:col>11</xdr:col>
                    <xdr:colOff>2419350</xdr:colOff>
                    <xdr:row>20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PILE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2017-12-01T12:28:40Z</dcterms:created>
  <dcterms:modified xsi:type="dcterms:W3CDTF">2017-12-01T12:54:30Z</dcterms:modified>
</cp:coreProperties>
</file>