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trlProps/ctrlProp1.xml" ContentType="application/vnd.ms-excel.controlproperties+xml"/>
  <Override PartName="/xl/ctrlProps/ctrlProp2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esktop\Pile Cap Excel\"/>
    </mc:Choice>
  </mc:AlternateContent>
  <bookViews>
    <workbookView xWindow="0" yWindow="0" windowWidth="20490" windowHeight="7455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9" i="1" l="1"/>
  <c r="C99" i="1"/>
  <c r="C97" i="1"/>
  <c r="B91" i="1"/>
  <c r="B87" i="1"/>
  <c r="L81" i="1"/>
  <c r="K72" i="1"/>
  <c r="H72" i="1"/>
  <c r="G72" i="1"/>
  <c r="O71" i="1"/>
  <c r="K71" i="1"/>
  <c r="P65" i="1"/>
  <c r="J54" i="1"/>
  <c r="J50" i="1"/>
  <c r="H49" i="1"/>
  <c r="G49" i="1"/>
  <c r="K48" i="1"/>
  <c r="H48" i="1"/>
  <c r="G48" i="1"/>
  <c r="C48" i="1"/>
  <c r="K46" i="1"/>
  <c r="J46" i="1"/>
  <c r="L43" i="1"/>
  <c r="L33" i="1"/>
  <c r="L31" i="1"/>
  <c r="L30" i="1"/>
  <c r="L29" i="1"/>
  <c r="H22" i="1"/>
  <c r="L21" i="1"/>
  <c r="E17" i="1"/>
  <c r="J55" i="1" s="1"/>
  <c r="C17" i="1"/>
  <c r="P97" i="1" s="1"/>
  <c r="E16" i="1"/>
  <c r="I54" i="1" s="1"/>
  <c r="E15" i="1"/>
  <c r="K50" i="1"/>
  <c r="I10" i="1"/>
  <c r="C50" i="1"/>
  <c r="J8" i="1"/>
  <c r="J48" i="1" s="1"/>
  <c r="I48" i="1"/>
  <c r="C47" i="1"/>
  <c r="I46" i="1"/>
  <c r="C46" i="1"/>
  <c r="M86" i="1" l="1"/>
  <c r="P78" i="1" s="1"/>
  <c r="K54" i="1"/>
  <c r="D60" i="1"/>
  <c r="G67" i="1" s="1"/>
  <c r="C72" i="1"/>
  <c r="Q76" i="1"/>
  <c r="C52" i="1"/>
  <c r="I55" i="1"/>
  <c r="E60" i="1"/>
  <c r="G65" i="1" s="1"/>
  <c r="P71" i="1"/>
  <c r="Q78" i="1"/>
  <c r="O95" i="1"/>
  <c r="P98" i="1"/>
  <c r="H98" i="1" s="1"/>
  <c r="K55" i="1"/>
  <c r="L22" i="1"/>
  <c r="F60" i="1"/>
  <c r="D86" i="1" l="1"/>
  <c r="O78" i="1"/>
  <c r="R78" i="1"/>
  <c r="C59" i="1"/>
  <c r="C58" i="1"/>
  <c r="D59" i="1"/>
  <c r="E67" i="1" s="1"/>
  <c r="F59" i="1"/>
  <c r="F58" i="1"/>
  <c r="D58" i="1"/>
  <c r="E59" i="1"/>
  <c r="E65" i="1" s="1"/>
  <c r="E58" i="1"/>
  <c r="C60" i="1"/>
  <c r="D72" i="1"/>
  <c r="O65" i="1"/>
  <c r="E56" i="1"/>
  <c r="D56" i="1"/>
  <c r="F56" i="1"/>
  <c r="C56" i="1"/>
  <c r="C57" i="1" l="1"/>
  <c r="G56" i="1"/>
  <c r="H26" i="1"/>
  <c r="K26" i="1"/>
  <c r="F57" i="1"/>
  <c r="K27" i="1" s="1"/>
  <c r="P79" i="1"/>
  <c r="C67" i="1"/>
  <c r="O79" i="1"/>
  <c r="C64" i="1"/>
  <c r="Q79" i="1"/>
  <c r="C66" i="1"/>
  <c r="D57" i="1"/>
  <c r="I27" i="1" s="1"/>
  <c r="I26" i="1"/>
  <c r="G66" i="1"/>
  <c r="G64" i="1"/>
  <c r="E66" i="1"/>
  <c r="E64" i="1"/>
  <c r="O76" i="1"/>
  <c r="E57" i="1"/>
  <c r="J27" i="1" s="1"/>
  <c r="J26" i="1"/>
  <c r="R79" i="1"/>
  <c r="C65" i="1"/>
  <c r="C71" i="1" l="1"/>
  <c r="D71" i="1"/>
  <c r="H71" i="1"/>
  <c r="G71" i="1"/>
  <c r="G57" i="1"/>
  <c r="H27" i="1"/>
  <c r="G59" i="1"/>
  <c r="R64" i="1" l="1"/>
  <c r="Q64" i="1"/>
  <c r="C37" i="1"/>
  <c r="M69" i="1"/>
  <c r="C29" i="1"/>
  <c r="M70" i="1" l="1"/>
  <c r="O64" i="1"/>
  <c r="P64" i="1"/>
  <c r="Q71" i="1" l="1"/>
  <c r="P80" i="1"/>
  <c r="O80" i="1"/>
  <c r="O66" i="1"/>
  <c r="O67" i="1" s="1"/>
  <c r="O68" i="1" s="1"/>
  <c r="R71" i="1"/>
  <c r="Q80" i="1"/>
  <c r="R80" i="1"/>
  <c r="P66" i="1"/>
  <c r="P67" i="1" s="1"/>
  <c r="P68" i="1" s="1"/>
  <c r="Q77" i="1" l="1"/>
  <c r="P69" i="1"/>
  <c r="O77" i="1"/>
  <c r="O69" i="1"/>
  <c r="O72" i="1" l="1"/>
  <c r="O70" i="1" s="1"/>
  <c r="C70" i="1" s="1"/>
  <c r="O81" i="1"/>
  <c r="P81" i="1"/>
  <c r="P72" i="1"/>
  <c r="P70" i="1" s="1"/>
  <c r="R70" i="1" s="1"/>
  <c r="R81" i="1"/>
  <c r="Q81" i="1"/>
  <c r="C82" i="1" l="1"/>
  <c r="C73" i="1"/>
  <c r="O82" i="1"/>
  <c r="O89" i="1"/>
  <c r="G70" i="1"/>
  <c r="Q89" i="1"/>
  <c r="Q82" i="1"/>
  <c r="Q70" i="1"/>
  <c r="R89" i="1"/>
  <c r="R82" i="1"/>
  <c r="P82" i="1"/>
  <c r="P89" i="1"/>
  <c r="C74" i="1" l="1"/>
  <c r="C75" i="1" s="1"/>
  <c r="C76" i="1" s="1"/>
  <c r="Q83" i="1"/>
  <c r="O83" i="1"/>
  <c r="C93" i="1"/>
  <c r="C92" i="1"/>
  <c r="O84" i="1"/>
  <c r="O85" i="1" s="1"/>
  <c r="O86" i="1" s="1"/>
  <c r="O87" i="1" s="1"/>
  <c r="C88" i="1"/>
  <c r="C89" i="1"/>
  <c r="G73" i="1"/>
  <c r="G82" i="1"/>
  <c r="Q84" i="1"/>
  <c r="Q85" i="1" s="1"/>
  <c r="Q86" i="1" s="1"/>
  <c r="Q87" i="1" s="1"/>
  <c r="D70" i="1" l="1"/>
  <c r="C77" i="1"/>
  <c r="C78" i="1" s="1"/>
  <c r="E90" i="1" s="1"/>
  <c r="C30" i="1"/>
  <c r="Q88" i="1"/>
  <c r="H88" i="1"/>
  <c r="E88" i="1"/>
  <c r="C33" i="1"/>
  <c r="G75" i="1"/>
  <c r="G76" i="1" s="1"/>
  <c r="G74" i="1"/>
  <c r="C98" i="1"/>
  <c r="D99" i="1" s="1"/>
  <c r="H70" i="1"/>
  <c r="E92" i="1"/>
  <c r="H92" i="1"/>
  <c r="C41" i="1"/>
  <c r="O88" i="1"/>
  <c r="O96" i="1"/>
  <c r="H97" i="1"/>
  <c r="D87" i="1" l="1"/>
  <c r="H30" i="1"/>
  <c r="G77" i="1"/>
  <c r="G78" i="1" s="1"/>
  <c r="C38" i="1"/>
  <c r="D73" i="1"/>
  <c r="O97" i="1"/>
  <c r="O98" i="1"/>
  <c r="F96" i="1"/>
  <c r="C83" i="1"/>
  <c r="H73" i="1"/>
  <c r="C84" i="1"/>
  <c r="D31" i="1" s="1"/>
  <c r="I33" i="1"/>
  <c r="C79" i="1"/>
  <c r="G84" i="1" l="1"/>
  <c r="D39" i="1" s="1"/>
  <c r="I41" i="1"/>
  <c r="G79" i="1"/>
  <c r="E94" i="1"/>
  <c r="O99" i="1"/>
  <c r="F99" i="1" s="1"/>
  <c r="E31" i="1"/>
  <c r="G88" i="1"/>
  <c r="E89" i="1" s="1"/>
  <c r="C80" i="1"/>
  <c r="G83" i="1"/>
  <c r="D74" i="1"/>
  <c r="D75" i="1" s="1"/>
  <c r="D76" i="1" s="1"/>
  <c r="D77" i="1" s="1"/>
  <c r="D78" i="1" s="1"/>
  <c r="H74" i="1"/>
  <c r="H75" i="1" s="1"/>
  <c r="H76" i="1" s="1"/>
  <c r="H77" i="1" s="1"/>
  <c r="F97" i="1"/>
  <c r="F98" i="1" s="1"/>
  <c r="H99" i="1" s="1"/>
  <c r="H78" i="1" l="1"/>
  <c r="H38" i="1" s="1"/>
  <c r="H80" i="1"/>
  <c r="H79" i="1"/>
  <c r="D80" i="1"/>
  <c r="D79" i="1"/>
  <c r="G89" i="1"/>
  <c r="C34" i="1" s="1"/>
  <c r="I34" i="1"/>
  <c r="E39" i="1"/>
  <c r="G92" i="1"/>
  <c r="E93" i="1" s="1"/>
  <c r="G93" i="1" s="1"/>
  <c r="C42" i="1" s="1"/>
  <c r="G80" i="1"/>
  <c r="G81" i="1" s="1"/>
  <c r="C81" i="1"/>
  <c r="G94" i="1" l="1"/>
  <c r="D93" i="1"/>
  <c r="D89" i="1"/>
  <c r="G90" i="1"/>
  <c r="H94" i="1" l="1"/>
  <c r="D43" i="1" s="1"/>
  <c r="I42" i="1"/>
  <c r="M94" i="1"/>
  <c r="E43" i="1" s="1"/>
  <c r="H90" i="1"/>
  <c r="D35" i="1" s="1"/>
  <c r="M90" i="1"/>
  <c r="E35" i="1" s="1"/>
</calcChain>
</file>

<file path=xl/sharedStrings.xml><?xml version="1.0" encoding="utf-8"?>
<sst xmlns="http://schemas.openxmlformats.org/spreadsheetml/2006/main" count="216" uniqueCount="146">
  <si>
    <t xml:space="preserve"> </t>
  </si>
  <si>
    <t>OPERATING INSTRUCTIONS</t>
  </si>
  <si>
    <t xml:space="preserve"> T</t>
  </si>
  <si>
    <t xml:space="preserve"> Project</t>
  </si>
  <si>
    <r>
      <t xml:space="preserve">ENTER DATA IN </t>
    </r>
    <r>
      <rPr>
        <b/>
        <sz val="12"/>
        <color indexed="12"/>
        <rFont val="Tekton"/>
        <family val="2"/>
      </rPr>
      <t>BLUE/</t>
    </r>
    <r>
      <rPr>
        <b/>
        <sz val="12"/>
        <color indexed="14"/>
        <rFont val="Tekton"/>
        <family val="2"/>
      </rPr>
      <t>MAGENTA</t>
    </r>
    <r>
      <rPr>
        <b/>
        <sz val="12"/>
        <color indexed="12"/>
        <rFont val="Tekton"/>
        <family val="2"/>
      </rPr>
      <t xml:space="preserve"> </t>
    </r>
    <r>
      <rPr>
        <b/>
        <sz val="12"/>
        <color indexed="17"/>
        <rFont val="Tekton"/>
        <family val="2"/>
      </rPr>
      <t>CELLS ONLY.</t>
    </r>
  </si>
  <si>
    <t xml:space="preserve"> Client</t>
  </si>
  <si>
    <t xml:space="preserve"> Made by</t>
  </si>
  <si>
    <t xml:space="preserve"> Date</t>
  </si>
  <si>
    <t xml:space="preserve"> Page</t>
  </si>
  <si>
    <r>
      <t>RED MESSAGES</t>
    </r>
    <r>
      <rPr>
        <b/>
        <sz val="12"/>
        <color indexed="17"/>
        <rFont val="Tekton"/>
        <family val="2"/>
      </rPr>
      <t xml:space="preserve"> INDICATE ENTRY ERRORS.</t>
    </r>
  </si>
  <si>
    <t>Fs =</t>
  </si>
  <si>
    <t xml:space="preserve"> Location</t>
  </si>
  <si>
    <t>4 Pile Cap</t>
  </si>
  <si>
    <r>
      <t xml:space="preserve">THIS PAGE for </t>
    </r>
    <r>
      <rPr>
        <b/>
        <sz val="12"/>
        <color indexed="60"/>
        <rFont val="Tekton"/>
        <family val="2"/>
      </rPr>
      <t>4-PILE</t>
    </r>
    <r>
      <rPr>
        <b/>
        <sz val="12"/>
        <color indexed="17"/>
        <rFont val="Tekton"/>
        <family val="2"/>
      </rPr>
      <t xml:space="preserve"> PILE ONLY.</t>
    </r>
  </si>
  <si>
    <t>bond L =</t>
  </si>
  <si>
    <t xml:space="preserve"> Checked</t>
  </si>
  <si>
    <t>Revision</t>
  </si>
  <si>
    <t xml:space="preserve"> Job No</t>
  </si>
  <si>
    <t>SET PROJECT DETAILS &amp; MATERIALS on FIRST SHEET.</t>
  </si>
  <si>
    <t>-</t>
  </si>
  <si>
    <r>
      <t xml:space="preserve"> </t>
    </r>
    <r>
      <rPr>
        <b/>
        <sz val="14"/>
        <rFont val="BlacklightD"/>
        <family val="4"/>
      </rPr>
      <t>DIMENSIONS</t>
    </r>
    <r>
      <rPr>
        <sz val="14"/>
        <rFont val="BlacklightD"/>
        <family val="4"/>
      </rPr>
      <t xml:space="preserve"> </t>
    </r>
    <r>
      <rPr>
        <sz val="14"/>
        <rFont val="Tekton"/>
        <family val="2"/>
      </rPr>
      <t>mm</t>
    </r>
  </si>
  <si>
    <t>PILECAP</t>
  </si>
  <si>
    <t xml:space="preserve">           COLUMN</t>
  </si>
  <si>
    <t>A =</t>
  </si>
  <si>
    <r>
      <t>®</t>
    </r>
    <r>
      <rPr>
        <sz val="14"/>
        <rFont val="Tekton"/>
        <family val="2"/>
      </rPr>
      <t xml:space="preserve"> =</t>
    </r>
  </si>
  <si>
    <t>B =</t>
  </si>
  <si>
    <r>
      <t>­</t>
    </r>
    <r>
      <rPr>
        <sz val="14"/>
        <rFont val="Tekton"/>
        <family val="2"/>
      </rPr>
      <t xml:space="preserve"> =</t>
    </r>
  </si>
  <si>
    <t>C =</t>
  </si>
  <si>
    <t>D =</t>
  </si>
  <si>
    <t>Pile Ø =</t>
  </si>
  <si>
    <t>E =</t>
  </si>
  <si>
    <r>
      <t>depth</t>
    </r>
    <r>
      <rPr>
        <sz val="14"/>
        <rFont val="Tekton"/>
        <family val="2"/>
      </rPr>
      <t xml:space="preserve"> H =</t>
    </r>
  </si>
  <si>
    <t>Bar Marks</t>
  </si>
  <si>
    <r>
      <t xml:space="preserve"> COLUMN ACTIONS</t>
    </r>
    <r>
      <rPr>
        <b/>
        <sz val="12"/>
        <rFont val="Marker"/>
        <family val="2"/>
      </rPr>
      <t xml:space="preserve"> </t>
    </r>
    <r>
      <rPr>
        <sz val="14"/>
        <rFont val="Tekton"/>
        <family val="2"/>
      </rPr>
      <t>kN, kNm</t>
    </r>
    <r>
      <rPr>
        <sz val="12"/>
        <rFont val="Tekton"/>
        <family val="2"/>
      </rPr>
      <t xml:space="preserve">  </t>
    </r>
    <r>
      <rPr>
        <sz val="10"/>
        <rFont val="Tekton"/>
        <family val="2"/>
      </rPr>
      <t>characteristic</t>
    </r>
  </si>
  <si>
    <r>
      <t>PLOT</t>
    </r>
    <r>
      <rPr>
        <sz val="12"/>
        <rFont val="Marker"/>
        <family val="2"/>
      </rPr>
      <t xml:space="preserve">  </t>
    </r>
    <r>
      <rPr>
        <i/>
        <sz val="12"/>
        <rFont val="Tekton"/>
        <family val="2"/>
      </rPr>
      <t>(to scale)</t>
    </r>
  </si>
  <si>
    <t>KEY</t>
  </si>
  <si>
    <t>Btm</t>
  </si>
  <si>
    <t xml:space="preserve"> 13 </t>
  </si>
  <si>
    <t xml:space="preserve"> 15 </t>
  </si>
  <si>
    <t>DEAD</t>
  </si>
  <si>
    <t>IMPOSED</t>
  </si>
  <si>
    <t>WIND</t>
  </si>
  <si>
    <t>Top</t>
  </si>
  <si>
    <t xml:space="preserve"> 14 </t>
  </si>
  <si>
    <t xml:space="preserve"> 16 </t>
  </si>
  <si>
    <r>
      <t xml:space="preserve">Axial </t>
    </r>
    <r>
      <rPr>
        <sz val="12"/>
        <rFont val="Tekton"/>
        <family val="2"/>
      </rPr>
      <t xml:space="preserve">(kN) </t>
    </r>
  </si>
  <si>
    <t xml:space="preserve"> STATUS</t>
  </si>
  <si>
    <t>Links</t>
  </si>
  <si>
    <t xml:space="preserve"> 00 </t>
  </si>
  <si>
    <t xml:space="preserve"> 17 </t>
  </si>
  <si>
    <r>
      <t>Mx</t>
    </r>
    <r>
      <rPr>
        <sz val="12"/>
        <rFont val="Tekton"/>
        <family val="2"/>
      </rPr>
      <t xml:space="preserve"> (kNm) </t>
    </r>
  </si>
  <si>
    <t xml:space="preserve">    SIGN CONVENTION</t>
  </si>
  <si>
    <r>
      <t xml:space="preserve">My </t>
    </r>
    <r>
      <rPr>
        <sz val="12"/>
        <rFont val="Tekton"/>
        <family val="2"/>
      </rPr>
      <t>(kNm)</t>
    </r>
    <r>
      <rPr>
        <sz val="14"/>
        <rFont val="Tekton"/>
        <family val="2"/>
      </rPr>
      <t xml:space="preserve"> </t>
    </r>
  </si>
  <si>
    <r>
      <t>PILE REACTIONS</t>
    </r>
    <r>
      <rPr>
        <sz val="14"/>
        <rFont val="BlacklightD"/>
        <family val="4"/>
      </rPr>
      <t xml:space="preserve"> </t>
    </r>
    <r>
      <rPr>
        <sz val="14"/>
        <rFont val="Tekton"/>
        <family val="2"/>
      </rPr>
      <t>kN</t>
    </r>
  </si>
  <si>
    <r>
      <t xml:space="preserve">Hx </t>
    </r>
    <r>
      <rPr>
        <sz val="12"/>
        <rFont val="Tekton"/>
        <family val="2"/>
      </rPr>
      <t xml:space="preserve">(kN) </t>
    </r>
  </si>
  <si>
    <t>PILE 1</t>
  </si>
  <si>
    <t>PILE 2</t>
  </si>
  <si>
    <t>PILE 3</t>
  </si>
  <si>
    <t>PILE 4</t>
  </si>
  <si>
    <t>Y</t>
  </si>
  <si>
    <r>
      <t xml:space="preserve">Hy </t>
    </r>
    <r>
      <rPr>
        <sz val="12"/>
        <rFont val="Tekton"/>
        <family val="2"/>
      </rPr>
      <t xml:space="preserve">(kN) </t>
    </r>
  </si>
  <si>
    <t>Gk + Qk</t>
  </si>
  <si>
    <t>Gk + Qk +Wk</t>
  </si>
  <si>
    <t>X</t>
  </si>
  <si>
    <t xml:space="preserve"> REINFORCEMENT</t>
  </si>
  <si>
    <t xml:space="preserve">        M         H</t>
  </si>
  <si>
    <t>EW(1/3-2/4)</t>
  </si>
  <si>
    <t/>
  </si>
  <si>
    <r>
      <t>­</t>
    </r>
    <r>
      <rPr>
        <b/>
        <sz val="14"/>
        <rFont val="BlacklightD"/>
        <family val="4"/>
      </rPr>
      <t xml:space="preserve"> </t>
    </r>
    <r>
      <rPr>
        <sz val="13"/>
        <rFont val="Marker"/>
        <family val="2"/>
      </rPr>
      <t>ELEVATION</t>
    </r>
  </si>
  <si>
    <t>NS(1/2-3/4)</t>
  </si>
  <si>
    <r>
      <t>¬</t>
    </r>
    <r>
      <rPr>
        <b/>
        <sz val="14"/>
        <rFont val="BlacklightD"/>
        <family val="4"/>
      </rPr>
      <t xml:space="preserve"> </t>
    </r>
    <r>
      <rPr>
        <sz val="13"/>
        <rFont val="Marker"/>
        <family val="2"/>
      </rPr>
      <t>ELEVATION</t>
    </r>
  </si>
  <si>
    <t>Cap load =</t>
  </si>
  <si>
    <t>kN</t>
  </si>
  <si>
    <r>
      <t xml:space="preserve"> OVERTURNING MOMENTS</t>
    </r>
    <r>
      <rPr>
        <sz val="12"/>
        <rFont val="Tekton"/>
        <family val="2"/>
      </rPr>
      <t xml:space="preserve"> - kNm </t>
    </r>
    <r>
      <rPr>
        <sz val="10"/>
        <rFont val="Tekton"/>
        <family val="2"/>
      </rPr>
      <t>characteristic</t>
    </r>
  </si>
  <si>
    <r>
      <t>PILE REACTIONS</t>
    </r>
    <r>
      <rPr>
        <sz val="12"/>
        <rFont val="BlacklightD"/>
        <family val="4"/>
      </rPr>
      <t xml:space="preserve"> </t>
    </r>
    <r>
      <rPr>
        <sz val="12"/>
        <rFont val="Tekton"/>
        <family val="2"/>
      </rPr>
      <t>kN</t>
    </r>
  </si>
  <si>
    <t xml:space="preserve">Mx </t>
  </si>
  <si>
    <t xml:space="preserve">My </t>
  </si>
  <si>
    <t xml:space="preserve">Gk + Qk </t>
  </si>
  <si>
    <t xml:space="preserve">Gk + Qk +Wk </t>
  </si>
  <si>
    <t xml:space="preserve">1.4Gk + 1.6Qk </t>
  </si>
  <si>
    <t xml:space="preserve">Gk + 1.4Wk </t>
  </si>
  <si>
    <t xml:space="preserve">1.2(Gk+Qk+Wk) </t>
  </si>
  <si>
    <r>
      <t xml:space="preserve"> </t>
    </r>
    <r>
      <rPr>
        <sz val="12"/>
        <rFont val="Marker"/>
        <family val="2"/>
      </rPr>
      <t>BENDING MOMENTS</t>
    </r>
    <r>
      <rPr>
        <sz val="12"/>
        <rFont val="BlacklightD"/>
        <family val="4"/>
      </rPr>
      <t xml:space="preserve"> </t>
    </r>
    <r>
      <rPr>
        <sz val="12"/>
        <rFont val="Tekton"/>
        <family val="2"/>
      </rPr>
      <t>- kNm</t>
    </r>
  </si>
  <si>
    <t>SELECT MAIN Øs</t>
  </si>
  <si>
    <t>EW</t>
  </si>
  <si>
    <t>NS</t>
  </si>
  <si>
    <r>
      <t>My</t>
    </r>
    <r>
      <rPr>
        <sz val="12"/>
        <color indexed="10"/>
        <rFont val="Tekton"/>
        <family val="2"/>
      </rPr>
      <t xml:space="preserve"> v</t>
    </r>
    <r>
      <rPr>
        <sz val="12"/>
        <rFont val="Tekton"/>
        <family val="2"/>
      </rPr>
      <t xml:space="preserve"> of col </t>
    </r>
  </si>
  <si>
    <t>d =</t>
  </si>
  <si>
    <r>
      <t xml:space="preserve">My </t>
    </r>
    <r>
      <rPr>
        <sz val="12"/>
        <color indexed="10"/>
        <rFont val="Tekton"/>
        <family val="2"/>
      </rPr>
      <t>^</t>
    </r>
    <r>
      <rPr>
        <sz val="12"/>
        <rFont val="Tekton"/>
        <family val="2"/>
      </rPr>
      <t xml:space="preserve"> of col </t>
    </r>
  </si>
  <si>
    <t>b =</t>
  </si>
  <si>
    <r>
      <t xml:space="preserve">My </t>
    </r>
    <r>
      <rPr>
        <sz val="12"/>
        <color indexed="10"/>
        <rFont val="Tekton"/>
        <family val="2"/>
      </rPr>
      <t>&lt;</t>
    </r>
    <r>
      <rPr>
        <sz val="12"/>
        <rFont val="Tekton"/>
        <family val="2"/>
      </rPr>
      <t xml:space="preserve"> of col </t>
    </r>
  </si>
  <si>
    <t>K =</t>
  </si>
  <si>
    <r>
      <t>My</t>
    </r>
    <r>
      <rPr>
        <sz val="12"/>
        <color indexed="10"/>
        <rFont val="Tekton"/>
        <family val="2"/>
      </rPr>
      <t xml:space="preserve"> &gt;</t>
    </r>
    <r>
      <rPr>
        <sz val="12"/>
        <rFont val="Tekton"/>
        <family val="2"/>
      </rPr>
      <t xml:space="preserve"> of col </t>
    </r>
  </si>
  <si>
    <t>z =</t>
  </si>
  <si>
    <t xml:space="preserve">As = </t>
  </si>
  <si>
    <t xml:space="preserve"> E-W STEEL</t>
  </si>
  <si>
    <t>BOTTOM</t>
  </si>
  <si>
    <t>TOP</t>
  </si>
  <si>
    <t>N-S STEEL</t>
  </si>
  <si>
    <t>Provide</t>
  </si>
  <si>
    <t xml:space="preserve">No = </t>
  </si>
  <si>
    <t>M =</t>
  </si>
  <si>
    <t>K' =</t>
  </si>
  <si>
    <t xml:space="preserve">fs = </t>
  </si>
  <si>
    <t xml:space="preserve">min As = </t>
  </si>
  <si>
    <t>S =</t>
  </si>
  <si>
    <t>SELECT LINK Ø</t>
  </si>
  <si>
    <t>EW (NS plane)</t>
  </si>
  <si>
    <t>NS (EW plane)</t>
  </si>
  <si>
    <t>% =</t>
  </si>
  <si>
    <t>Av =</t>
  </si>
  <si>
    <t xml:space="preserve">As prov = </t>
  </si>
  <si>
    <t>V =</t>
  </si>
  <si>
    <t>v =</t>
  </si>
  <si>
    <t>Max clear S =</t>
  </si>
  <si>
    <t>vc 2d/av =</t>
  </si>
  <si>
    <t>Min clear S =</t>
  </si>
  <si>
    <t>(v - vc)b =</t>
  </si>
  <si>
    <t>Clear S =</t>
  </si>
  <si>
    <t>Asv/Sv =</t>
  </si>
  <si>
    <t>Btm S =</t>
  </si>
  <si>
    <t xml:space="preserve"> BEAM SHEAR</t>
  </si>
  <si>
    <t>Min legs =</t>
  </si>
  <si>
    <t>links</t>
  </si>
  <si>
    <t>Legs =</t>
  </si>
  <si>
    <t>As% =</t>
  </si>
  <si>
    <t>Asv (1 leg) =</t>
  </si>
  <si>
    <t>av =</t>
  </si>
  <si>
    <t>No of legs =</t>
  </si>
  <si>
    <t>Spacing =</t>
  </si>
  <si>
    <t>closest pile from col face =</t>
  </si>
  <si>
    <t xml:space="preserve"> PUNCHING</t>
  </si>
  <si>
    <t>Column Face</t>
  </si>
  <si>
    <t>1.5 ave d =</t>
  </si>
  <si>
    <r>
      <t>m</t>
    </r>
    <r>
      <rPr>
        <sz val="12"/>
        <rFont val="Tekton"/>
        <family val="2"/>
      </rPr>
      <t xml:space="preserve"> =</t>
    </r>
  </si>
  <si>
    <t>d ave =</t>
  </si>
  <si>
    <t>width =</t>
  </si>
  <si>
    <t>height =</t>
  </si>
  <si>
    <t>v max =</t>
  </si>
  <si>
    <r>
      <t>r</t>
    </r>
    <r>
      <rPr>
        <sz val="12"/>
        <rFont val="Tekton"/>
        <family val="2"/>
      </rPr>
      <t xml:space="preserve"> =</t>
    </r>
  </si>
  <si>
    <t>DESIGN INTEGRITY</t>
  </si>
  <si>
    <t>CIVIL ENGINEERING LEARNING CENTER</t>
  </si>
  <si>
    <r>
      <rPr>
        <sz val="11"/>
        <color rgb="FF00B050"/>
        <rFont val="Calibri"/>
        <family val="2"/>
        <scheme val="minor"/>
      </rPr>
      <t xml:space="preserve">Email : dilbd016@gmail.com              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Call:01633905761</t>
    </r>
  </si>
  <si>
    <t>THANKING YOU</t>
  </si>
  <si>
    <t>ENGR.TOWHID</t>
  </si>
  <si>
    <t>CO-FOUNDER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</si>
</sst>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;\-0.0;;@"/>
    <numFmt numFmtId="165" formatCode="0.0"/>
    <numFmt numFmtId="166" formatCode="0.000"/>
    <numFmt numFmtId="167" formatCode="0.0000"/>
    <numFmt numFmtId="168" formatCode="\Ø#,##0;\-\Ø#,##0"/>
  </numFmts>
  <fonts count="9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name val="Tekton"/>
      <family val="2"/>
    </font>
    <font>
      <sz val="12"/>
      <color indexed="17"/>
      <name val="Tekton"/>
      <family val="2"/>
    </font>
    <font>
      <sz val="12"/>
      <name val="Courier New"/>
      <family val="3"/>
    </font>
    <font>
      <sz val="14"/>
      <name val="Courier New"/>
      <family val="3"/>
    </font>
    <font>
      <b/>
      <sz val="16"/>
      <color indexed="60"/>
      <name val="Tekton"/>
      <family val="2"/>
    </font>
    <font>
      <sz val="24"/>
      <name val="Courier New"/>
      <family val="3"/>
    </font>
    <font>
      <sz val="16"/>
      <color indexed="12"/>
      <name val="Marker"/>
      <family val="2"/>
    </font>
    <font>
      <sz val="14"/>
      <name val="BlacklightD"/>
      <family val="4"/>
    </font>
    <font>
      <sz val="12"/>
      <name val="BlacklightD"/>
      <family val="4"/>
    </font>
    <font>
      <i/>
      <sz val="10"/>
      <color indexed="10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2"/>
      <color indexed="17"/>
      <name val="Tekton"/>
      <family val="2"/>
    </font>
    <font>
      <b/>
      <sz val="12"/>
      <color indexed="12"/>
      <name val="Tekton"/>
      <family val="2"/>
    </font>
    <font>
      <b/>
      <sz val="12"/>
      <color indexed="14"/>
      <name val="Tekton"/>
      <family val="2"/>
    </font>
    <font>
      <sz val="14"/>
      <color indexed="12"/>
      <name val="Marker"/>
      <family val="2"/>
    </font>
    <font>
      <sz val="10"/>
      <name val="BlacklightD"/>
      <family val="4"/>
    </font>
    <font>
      <sz val="14"/>
      <color indexed="17"/>
      <name val="BlacklightD"/>
      <family val="4"/>
    </font>
    <font>
      <sz val="10"/>
      <name val="Tekton"/>
      <family val="2"/>
    </font>
    <font>
      <b/>
      <sz val="12"/>
      <color indexed="10"/>
      <name val="Tekton"/>
      <family val="2"/>
    </font>
    <font>
      <sz val="13"/>
      <color indexed="17"/>
      <name val="Marker"/>
      <family val="2"/>
    </font>
    <font>
      <sz val="12"/>
      <color indexed="12"/>
      <name val="Marker"/>
      <family val="2"/>
    </font>
    <font>
      <b/>
      <sz val="12"/>
      <color indexed="60"/>
      <name val="Tekton"/>
      <family val="2"/>
    </font>
    <font>
      <sz val="8"/>
      <name val="Tekton"/>
      <family val="2"/>
    </font>
    <font>
      <b/>
      <sz val="12"/>
      <name val="Tekton"/>
      <family val="2"/>
    </font>
    <font>
      <sz val="10"/>
      <name val="Arial"/>
      <family val="2"/>
    </font>
    <font>
      <sz val="14"/>
      <name val="Tekton"/>
      <family val="2"/>
    </font>
    <font>
      <sz val="12"/>
      <color indexed="17"/>
      <name val="BlacklightD"/>
      <family val="4"/>
    </font>
    <font>
      <sz val="14"/>
      <name val="Marker"/>
      <family val="2"/>
    </font>
    <font>
      <b/>
      <sz val="14"/>
      <name val="BlacklightD"/>
      <family val="4"/>
    </font>
    <font>
      <i/>
      <sz val="12"/>
      <color indexed="17"/>
      <name val="Tekton"/>
      <family val="2"/>
    </font>
    <font>
      <sz val="11"/>
      <name val="Marker"/>
      <family val="2"/>
    </font>
    <font>
      <u/>
      <sz val="14"/>
      <color indexed="12"/>
      <name val="Tekton"/>
      <family val="2"/>
    </font>
    <font>
      <sz val="12"/>
      <color indexed="10"/>
      <name val="BlacklightD"/>
      <family val="4"/>
    </font>
    <font>
      <sz val="14"/>
      <name val="Symbol"/>
      <family val="1"/>
      <charset val="2"/>
    </font>
    <font>
      <sz val="10"/>
      <name val="Marker"/>
      <family val="2"/>
    </font>
    <font>
      <sz val="14"/>
      <name val="Arial"/>
      <family val="2"/>
    </font>
    <font>
      <sz val="12"/>
      <name val="Marker"/>
      <family val="2"/>
    </font>
    <font>
      <sz val="14"/>
      <color indexed="60"/>
      <name val="BlacklightD"/>
      <family val="4"/>
    </font>
    <font>
      <b/>
      <sz val="12"/>
      <name val="Marker"/>
      <family val="2"/>
    </font>
    <font>
      <sz val="13"/>
      <name val="Marker"/>
      <family val="2"/>
    </font>
    <font>
      <i/>
      <sz val="12"/>
      <name val="Tekton"/>
      <family val="2"/>
    </font>
    <font>
      <sz val="13"/>
      <color indexed="10"/>
      <name val="Marker"/>
      <family val="2"/>
    </font>
    <font>
      <sz val="12"/>
      <color indexed="20"/>
      <name val="BlacklightD"/>
      <family val="4"/>
    </font>
    <font>
      <b/>
      <i/>
      <sz val="12"/>
      <color indexed="60"/>
      <name val="Tekton"/>
      <family val="2"/>
    </font>
    <font>
      <b/>
      <sz val="14"/>
      <color indexed="60"/>
      <name val="BlacklightD"/>
      <family val="4"/>
    </font>
    <font>
      <sz val="14"/>
      <name val="Tekton"/>
    </font>
    <font>
      <b/>
      <sz val="14"/>
      <color indexed="10"/>
      <name val="Tekton"/>
      <family val="2"/>
    </font>
    <font>
      <sz val="12"/>
      <color indexed="10"/>
      <name val="Tekton"/>
      <family val="2"/>
    </font>
    <font>
      <sz val="13"/>
      <color indexed="12"/>
      <name val="Tekton"/>
      <family val="2"/>
    </font>
    <font>
      <sz val="13"/>
      <name val="Tekton"/>
      <family val="2"/>
    </font>
    <font>
      <u/>
      <sz val="13"/>
      <color indexed="60"/>
      <name val="Marker"/>
      <family val="2"/>
    </font>
    <font>
      <sz val="10"/>
      <name val="Tekton"/>
    </font>
    <font>
      <sz val="10"/>
      <color indexed="10"/>
      <name val="Tekton"/>
      <family val="2"/>
    </font>
    <font>
      <sz val="13"/>
      <color indexed="10"/>
      <name val="Tekton"/>
      <family val="2"/>
    </font>
    <font>
      <sz val="13"/>
      <color indexed="17"/>
      <name val="Tekton"/>
      <family val="2"/>
    </font>
    <font>
      <u/>
      <sz val="14"/>
      <color indexed="60"/>
      <name val="BlacklightD"/>
      <family val="4"/>
    </font>
    <font>
      <b/>
      <sz val="14"/>
      <color indexed="10"/>
      <name val="Symbol"/>
      <family val="1"/>
      <charset val="2"/>
    </font>
    <font>
      <u/>
      <sz val="10"/>
      <color indexed="12"/>
      <name val="Tekton"/>
      <family val="2"/>
    </font>
    <font>
      <sz val="10"/>
      <color indexed="10"/>
      <name val="BlacklightD"/>
      <family val="4"/>
    </font>
    <font>
      <b/>
      <sz val="14"/>
      <color indexed="17"/>
      <name val="Tekton"/>
      <family val="2"/>
    </font>
    <font>
      <sz val="8"/>
      <name val="Arial"/>
      <family val="2"/>
    </font>
    <font>
      <sz val="8"/>
      <name val="Tekton"/>
    </font>
    <font>
      <sz val="8"/>
      <color indexed="10"/>
      <name val="BlacklightD"/>
      <family val="4"/>
    </font>
    <font>
      <sz val="8"/>
      <color indexed="60"/>
      <name val="BlacklightD"/>
      <family val="4"/>
    </font>
    <font>
      <u/>
      <sz val="12"/>
      <color indexed="12"/>
      <name val="Tekton"/>
    </font>
    <font>
      <sz val="12"/>
      <color indexed="60"/>
      <name val="Tekton"/>
      <family val="2"/>
    </font>
    <font>
      <b/>
      <sz val="8"/>
      <name val="Tekton"/>
      <family val="2"/>
    </font>
    <font>
      <sz val="16"/>
      <name val="Marker"/>
      <family val="2"/>
    </font>
    <font>
      <sz val="12"/>
      <name val="Tekton"/>
    </font>
    <font>
      <sz val="12"/>
      <color indexed="60"/>
      <name val="BlacklightD"/>
      <family val="4"/>
    </font>
    <font>
      <b/>
      <sz val="12"/>
      <color indexed="10"/>
      <name val="BlacklightD"/>
      <family val="4"/>
    </font>
    <font>
      <sz val="11"/>
      <color indexed="17"/>
      <name val="Marker"/>
      <family val="2"/>
    </font>
    <font>
      <sz val="12"/>
      <name val="Symbol"/>
      <family val="1"/>
      <charset val="2"/>
    </font>
    <font>
      <b/>
      <sz val="12"/>
      <color indexed="10"/>
      <name val="Arial"/>
      <family val="2"/>
    </font>
    <font>
      <b/>
      <u/>
      <sz val="8"/>
      <color indexed="60"/>
      <name val="BlacklightD"/>
      <family val="4"/>
    </font>
    <font>
      <u/>
      <sz val="8"/>
      <name val="Tekton"/>
      <family val="2"/>
    </font>
    <font>
      <sz val="8"/>
      <name val="BlacklightD"/>
      <family val="4"/>
    </font>
    <font>
      <b/>
      <i/>
      <sz val="24"/>
      <color rgb="FFFF000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2"/>
      <color indexed="10"/>
      <name val="BlacklightD"/>
    </font>
    <font>
      <sz val="14"/>
      <color rgb="FFC00000"/>
      <name val="Calibri"/>
      <family val="2"/>
      <scheme val="minor"/>
    </font>
    <font>
      <b/>
      <sz val="16"/>
      <color indexed="60"/>
      <name val="BlacklightD"/>
    </font>
    <font>
      <sz val="11"/>
      <color rgb="FFC00000"/>
      <name val="Calibri"/>
      <family val="2"/>
      <scheme val="minor"/>
    </font>
    <font>
      <sz val="12"/>
      <color rgb="FFC00000"/>
      <name val="BlacklightD"/>
      <family val="4"/>
    </font>
    <font>
      <b/>
      <sz val="12"/>
      <color rgb="FFC00000"/>
      <name val="BlacklightD"/>
    </font>
    <font>
      <b/>
      <sz val="16"/>
      <color rgb="FFC00000"/>
      <name val="BlacklightD"/>
    </font>
    <font>
      <sz val="12"/>
      <color rgb="FF000000"/>
      <name val="Tekton"/>
    </font>
    <font>
      <sz val="12"/>
      <color rgb="FF008000"/>
      <name val="Tekton"/>
    </font>
  </fonts>
  <fills count="11">
    <fill>
      <patternFill patternType="none"/>
    </fill>
    <fill>
      <patternFill patternType="gray125"/>
    </fill>
    <fill>
      <patternFill patternType="solid">
        <fgColor indexed="47"/>
        <bgColor indexed="9"/>
      </patternFill>
    </fill>
    <fill>
      <patternFill patternType="solid">
        <fgColor indexed="47"/>
        <bgColor indexed="22"/>
      </patternFill>
    </fill>
    <fill>
      <patternFill patternType="solid">
        <fgColor indexed="4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9"/>
      </patternFill>
    </fill>
  </fills>
  <borders count="4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ck">
        <color indexed="55"/>
      </left>
      <right/>
      <top/>
      <bottom/>
      <diagonal/>
    </border>
    <border>
      <left/>
      <right style="thick">
        <color indexed="55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55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55"/>
      </right>
      <top style="thin">
        <color indexed="64"/>
      </top>
      <bottom/>
      <diagonal/>
    </border>
    <border>
      <left style="thin">
        <color indexed="64"/>
      </left>
      <right style="thick">
        <color indexed="55"/>
      </right>
      <top/>
      <bottom style="thin">
        <color indexed="64"/>
      </bottom>
      <diagonal/>
    </border>
    <border>
      <left style="thick">
        <color indexed="55"/>
      </left>
      <right/>
      <top/>
      <bottom style="thick">
        <color indexed="55"/>
      </bottom>
      <diagonal/>
    </border>
    <border>
      <left/>
      <right/>
      <top/>
      <bottom style="thick">
        <color indexed="55"/>
      </bottom>
      <diagonal/>
    </border>
    <border>
      <left/>
      <right style="thick">
        <color indexed="55"/>
      </right>
      <top/>
      <bottom style="thick">
        <color indexed="55"/>
      </bottom>
      <diagonal/>
    </border>
    <border>
      <left/>
      <right style="thick">
        <color indexed="55"/>
      </right>
      <top style="thin">
        <color indexed="64"/>
      </top>
      <bottom style="thin">
        <color indexed="64"/>
      </bottom>
      <diagonal/>
    </border>
    <border>
      <left/>
      <right style="thick">
        <color indexed="55"/>
      </right>
      <top/>
      <bottom style="thin">
        <color indexed="64"/>
      </bottom>
      <diagonal/>
    </border>
  </borders>
  <cellStyleXfs count="2">
    <xf numFmtId="0" fontId="0" fillId="0" borderId="0"/>
    <xf numFmtId="0" fontId="67" fillId="0" borderId="0" applyNumberFormat="0" applyFill="0" applyBorder="0" applyAlignment="0" applyProtection="0">
      <alignment vertical="top"/>
      <protection locked="0"/>
    </xf>
  </cellStyleXfs>
  <cellXfs count="310">
    <xf numFmtId="0" fontId="0" fillId="0" borderId="0" xfId="0"/>
    <xf numFmtId="0" fontId="0" fillId="0" borderId="0" xfId="0" applyProtection="1"/>
    <xf numFmtId="1" fontId="8" fillId="0" borderId="2" xfId="0" applyNumberFormat="1" applyFont="1" applyFill="1" applyBorder="1" applyAlignment="1" applyProtection="1">
      <alignment horizontal="left" vertical="center"/>
      <protection locked="0"/>
    </xf>
    <xf numFmtId="1" fontId="17" fillId="0" borderId="0" xfId="0" applyNumberFormat="1" applyFont="1" applyFill="1" applyBorder="1" applyAlignment="1" applyProtection="1">
      <alignment horizontal="left"/>
      <protection locked="0"/>
    </xf>
    <xf numFmtId="1" fontId="17" fillId="0" borderId="0" xfId="0" applyNumberFormat="1" applyFont="1" applyFill="1" applyAlignment="1" applyProtection="1">
      <alignment horizontal="left"/>
      <protection locked="0"/>
    </xf>
    <xf numFmtId="1" fontId="23" fillId="0" borderId="10" xfId="0" applyNumberFormat="1" applyFont="1" applyFill="1" applyBorder="1" applyAlignment="1" applyProtection="1">
      <alignment horizontal="centerContinuous"/>
      <protection locked="0"/>
    </xf>
    <xf numFmtId="15" fontId="23" fillId="0" borderId="11" xfId="0" applyNumberFormat="1" applyFont="1" applyFill="1" applyBorder="1" applyAlignment="1" applyProtection="1">
      <alignment horizontal="center" shrinkToFit="1"/>
      <protection locked="0"/>
    </xf>
    <xf numFmtId="1" fontId="23" fillId="0" borderId="12" xfId="0" applyNumberFormat="1" applyFont="1" applyFill="1" applyBorder="1" applyAlignment="1" applyProtection="1">
      <alignment horizontal="centerContinuous"/>
      <protection locked="0"/>
    </xf>
    <xf numFmtId="1" fontId="23" fillId="0" borderId="15" xfId="0" applyNumberFormat="1" applyFont="1" applyFill="1" applyBorder="1" applyAlignment="1" applyProtection="1">
      <alignment horizontal="centerContinuous"/>
      <protection locked="0"/>
    </xf>
    <xf numFmtId="1" fontId="23" fillId="0" borderId="17" xfId="0" applyNumberFormat="1" applyFont="1" applyFill="1" applyBorder="1" applyAlignment="1" applyProtection="1">
      <alignment horizontal="centerContinuous"/>
      <protection locked="0"/>
    </xf>
    <xf numFmtId="1" fontId="23" fillId="0" borderId="18" xfId="0" applyNumberFormat="1" applyFont="1" applyFill="1" applyBorder="1" applyAlignment="1" applyProtection="1">
      <alignment horizontal="centerContinuous"/>
      <protection locked="0"/>
    </xf>
    <xf numFmtId="0" fontId="34" fillId="0" borderId="0" xfId="0" applyFont="1" applyFill="1" applyBorder="1" applyAlignment="1" applyProtection="1">
      <alignment horizontal="left"/>
      <protection locked="0"/>
    </xf>
    <xf numFmtId="164" fontId="34" fillId="0" borderId="28" xfId="0" applyNumberFormat="1" applyFont="1" applyFill="1" applyBorder="1" applyAlignment="1" applyProtection="1">
      <alignment horizontal="center"/>
      <protection locked="0"/>
    </xf>
    <xf numFmtId="164" fontId="34" fillId="0" borderId="31" xfId="0" applyNumberFormat="1" applyFont="1" applyFill="1" applyBorder="1" applyAlignment="1" applyProtection="1">
      <alignment horizontal="center"/>
      <protection locked="0"/>
    </xf>
    <xf numFmtId="164" fontId="34" fillId="0" borderId="31" xfId="0" applyNumberFormat="1" applyFont="1" applyBorder="1" applyAlignment="1" applyProtection="1">
      <alignment horizontal="center"/>
      <protection locked="0"/>
    </xf>
    <xf numFmtId="164" fontId="34" fillId="0" borderId="33" xfId="0" applyNumberFormat="1" applyFont="1" applyBorder="1" applyAlignment="1" applyProtection="1">
      <alignment horizontal="center"/>
      <protection locked="0"/>
    </xf>
    <xf numFmtId="165" fontId="34" fillId="0" borderId="0" xfId="0" applyNumberFormat="1" applyFont="1" applyFill="1" applyBorder="1" applyAlignment="1" applyProtection="1">
      <alignment horizontal="center"/>
      <protection locked="0"/>
    </xf>
    <xf numFmtId="0" fontId="35" fillId="4" borderId="0" xfId="0" applyFont="1" applyFill="1" applyAlignment="1" applyProtection="1">
      <alignment horizontal="center"/>
    </xf>
    <xf numFmtId="0" fontId="82" fillId="4" borderId="0" xfId="0" applyFont="1" applyFill="1" applyAlignment="1" applyProtection="1">
      <alignment horizontal="center"/>
    </xf>
    <xf numFmtId="0" fontId="83" fillId="8" borderId="0" xfId="0" applyFont="1" applyFill="1" applyAlignment="1" applyProtection="1">
      <alignment horizontal="center"/>
    </xf>
    <xf numFmtId="0" fontId="84" fillId="4" borderId="0" xfId="0" applyFont="1" applyFill="1" applyAlignment="1" applyProtection="1">
      <alignment horizontal="center" vertical="top"/>
    </xf>
    <xf numFmtId="0" fontId="35" fillId="2" borderId="0" xfId="0" applyFont="1" applyFill="1" applyAlignment="1" applyProtection="1">
      <alignment horizontal="center"/>
    </xf>
    <xf numFmtId="0" fontId="83" fillId="9" borderId="0" xfId="0" applyFont="1" applyFill="1" applyAlignment="1" applyProtection="1">
      <alignment horizontal="center"/>
    </xf>
    <xf numFmtId="0" fontId="85" fillId="9" borderId="0" xfId="0" applyFont="1" applyFill="1" applyProtection="1"/>
    <xf numFmtId="0" fontId="86" fillId="10" borderId="0" xfId="0" applyFont="1" applyFill="1" applyAlignment="1" applyProtection="1">
      <alignment horizontal="center"/>
    </xf>
    <xf numFmtId="0" fontId="87" fillId="10" borderId="0" xfId="0" applyFont="1" applyFill="1" applyAlignment="1" applyProtection="1">
      <alignment horizontal="center"/>
    </xf>
    <xf numFmtId="0" fontId="88" fillId="10" borderId="0" xfId="0" applyFont="1" applyFill="1" applyAlignment="1" applyProtection="1">
      <alignment horizontal="center" vertical="top"/>
    </xf>
    <xf numFmtId="0" fontId="4" fillId="2" borderId="0" xfId="0" applyFont="1" applyFill="1" applyProtection="1">
      <protection locked="0"/>
    </xf>
    <xf numFmtId="0" fontId="5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 indent="1"/>
      <protection locked="0"/>
    </xf>
    <xf numFmtId="0" fontId="0" fillId="0" borderId="0" xfId="0" applyProtection="1">
      <protection locked="0" hidden="1"/>
    </xf>
    <xf numFmtId="0" fontId="0" fillId="0" borderId="0" xfId="0" applyProtection="1">
      <protection locked="0"/>
    </xf>
    <xf numFmtId="0" fontId="7" fillId="2" borderId="0" xfId="0" applyFont="1" applyFill="1" applyProtection="1">
      <protection locked="0"/>
    </xf>
    <xf numFmtId="1" fontId="2" fillId="0" borderId="1" xfId="0" applyNumberFormat="1" applyFont="1" applyFill="1" applyBorder="1" applyAlignment="1" applyProtection="1">
      <alignment vertical="center"/>
      <protection locked="0"/>
    </xf>
    <xf numFmtId="1" fontId="9" fillId="0" borderId="2" xfId="0" applyNumberFormat="1" applyFont="1" applyFill="1" applyBorder="1" applyAlignment="1" applyProtection="1">
      <alignment vertical="center"/>
      <protection locked="0"/>
    </xf>
    <xf numFmtId="0" fontId="10" fillId="0" borderId="2" xfId="0" applyFont="1" applyFill="1" applyBorder="1" applyProtection="1">
      <protection locked="0"/>
    </xf>
    <xf numFmtId="0" fontId="14" fillId="2" borderId="0" xfId="0" applyFont="1" applyFill="1" applyAlignment="1" applyProtection="1">
      <alignment horizontal="left"/>
      <protection locked="0"/>
    </xf>
    <xf numFmtId="1" fontId="2" fillId="0" borderId="6" xfId="0" applyNumberFormat="1" applyFont="1" applyFill="1" applyBorder="1" applyProtection="1">
      <protection locked="0"/>
    </xf>
    <xf numFmtId="1" fontId="18" fillId="0" borderId="0" xfId="0" applyNumberFormat="1" applyFont="1" applyFill="1" applyBorder="1" applyProtection="1">
      <protection locked="0"/>
    </xf>
    <xf numFmtId="0" fontId="18" fillId="0" borderId="0" xfId="0" applyFont="1" applyFill="1" applyBorder="1" applyProtection="1">
      <protection locked="0"/>
    </xf>
    <xf numFmtId="1" fontId="19" fillId="0" borderId="0" xfId="0" applyNumberFormat="1" applyFont="1" applyFill="1" applyBorder="1" applyAlignment="1" applyProtection="1">
      <alignment horizontal="center" vertical="center"/>
      <protection locked="0"/>
    </xf>
    <xf numFmtId="1" fontId="20" fillId="0" borderId="0" xfId="0" applyNumberFormat="1" applyFont="1" applyFill="1" applyBorder="1" applyProtection="1">
      <protection locked="0"/>
    </xf>
    <xf numFmtId="1" fontId="20" fillId="0" borderId="8" xfId="0" applyNumberFormat="1" applyFont="1" applyFill="1" applyBorder="1" applyProtection="1">
      <protection locked="0"/>
    </xf>
    <xf numFmtId="1" fontId="20" fillId="0" borderId="9" xfId="0" applyNumberFormat="1" applyFont="1" applyFill="1" applyBorder="1" applyProtection="1">
      <protection locked="0"/>
    </xf>
    <xf numFmtId="0" fontId="21" fillId="2" borderId="0" xfId="0" applyFont="1" applyFill="1" applyAlignment="1" applyProtection="1">
      <alignment horizontal="left"/>
      <protection locked="0"/>
    </xf>
    <xf numFmtId="0" fontId="0" fillId="0" borderId="0" xfId="0" applyAlignment="1" applyProtection="1">
      <alignment horizontal="right"/>
      <protection locked="0" hidden="1"/>
    </xf>
    <xf numFmtId="1" fontId="0" fillId="0" borderId="0" xfId="0" applyNumberFormat="1" applyAlignment="1" applyProtection="1">
      <alignment horizontal="center"/>
      <protection locked="0" hidden="1"/>
    </xf>
    <xf numFmtId="0" fontId="0" fillId="0" borderId="0" xfId="0" applyAlignment="1" applyProtection="1">
      <alignment horizontal="center"/>
      <protection locked="0" hidden="1"/>
    </xf>
    <xf numFmtId="1" fontId="25" fillId="0" borderId="6" xfId="0" applyNumberFormat="1" applyFont="1" applyFill="1" applyBorder="1" applyProtection="1">
      <protection locked="0"/>
    </xf>
    <xf numFmtId="1" fontId="25" fillId="0" borderId="0" xfId="0" applyNumberFormat="1" applyFont="1" applyFill="1" applyBorder="1" applyProtection="1">
      <protection locked="0"/>
    </xf>
    <xf numFmtId="1" fontId="9" fillId="0" borderId="0" xfId="0" applyNumberFormat="1" applyFont="1" applyFill="1" applyBorder="1" applyAlignment="1" applyProtection="1">
      <alignment horizontal="right"/>
      <protection locked="0"/>
    </xf>
    <xf numFmtId="1" fontId="9" fillId="0" borderId="0" xfId="0" applyNumberFormat="1" applyFont="1" applyFill="1" applyBorder="1" applyProtection="1">
      <protection locked="0"/>
    </xf>
    <xf numFmtId="1" fontId="20" fillId="0" borderId="13" xfId="0" applyNumberFormat="1" applyFont="1" applyFill="1" applyBorder="1" applyProtection="1">
      <protection locked="0"/>
    </xf>
    <xf numFmtId="1" fontId="25" fillId="0" borderId="14" xfId="0" applyNumberFormat="1" applyFont="1" applyFill="1" applyBorder="1" applyAlignment="1" applyProtection="1">
      <alignment horizontal="left"/>
      <protection locked="0"/>
    </xf>
    <xf numFmtId="1" fontId="25" fillId="0" borderId="15" xfId="0" applyNumberFormat="1" applyFont="1" applyFill="1" applyBorder="1" applyAlignment="1" applyProtection="1">
      <alignment horizontal="left"/>
      <protection locked="0"/>
    </xf>
    <xf numFmtId="1" fontId="9" fillId="0" borderId="15" xfId="0" applyNumberFormat="1" applyFont="1" applyFill="1" applyBorder="1" applyAlignment="1" applyProtection="1">
      <alignment horizontal="right"/>
      <protection locked="0"/>
    </xf>
    <xf numFmtId="1" fontId="9" fillId="0" borderId="15" xfId="0" applyNumberFormat="1" applyFont="1" applyFill="1" applyBorder="1" applyProtection="1">
      <protection locked="0"/>
    </xf>
    <xf numFmtId="0" fontId="18" fillId="0" borderId="16" xfId="0" applyFont="1" applyFill="1" applyBorder="1" applyProtection="1">
      <protection locked="0"/>
    </xf>
    <xf numFmtId="0" fontId="27" fillId="2" borderId="0" xfId="0" applyFont="1" applyFill="1" applyProtection="1">
      <protection locked="0"/>
    </xf>
    <xf numFmtId="0" fontId="28" fillId="0" borderId="19" xfId="0" applyFont="1" applyFill="1" applyBorder="1" applyAlignment="1" applyProtection="1">
      <alignment horizontal="right" vertical="top"/>
      <protection locked="0"/>
    </xf>
    <xf numFmtId="0" fontId="28" fillId="0" borderId="0" xfId="0" applyFont="1" applyFill="1" applyBorder="1" applyAlignment="1" applyProtection="1">
      <alignment horizontal="right" vertical="top"/>
      <protection locked="0"/>
    </xf>
    <xf numFmtId="0" fontId="27" fillId="0" borderId="0" xfId="0" applyFont="1" applyFill="1" applyBorder="1" applyProtection="1">
      <protection locked="0"/>
    </xf>
    <xf numFmtId="0" fontId="27" fillId="0" borderId="20" xfId="0" applyFont="1" applyFill="1" applyBorder="1" applyProtection="1">
      <protection locked="0"/>
    </xf>
    <xf numFmtId="0" fontId="29" fillId="2" borderId="0" xfId="0" applyFont="1" applyFill="1" applyProtection="1">
      <protection locked="0"/>
    </xf>
    <xf numFmtId="0" fontId="30" fillId="0" borderId="19" xfId="0" applyFont="1" applyFill="1" applyBorder="1" applyAlignment="1" applyProtection="1">
      <alignment horizontal="left"/>
      <protection locked="0"/>
    </xf>
    <xf numFmtId="0" fontId="28" fillId="0" borderId="0" xfId="0" applyFont="1" applyFill="1" applyBorder="1" applyAlignment="1" applyProtection="1">
      <alignment horizontal="left"/>
      <protection locked="0"/>
    </xf>
    <xf numFmtId="0" fontId="33" fillId="0" borderId="0" xfId="0" applyFont="1" applyFill="1" applyBorder="1" applyAlignment="1" applyProtection="1">
      <alignment horizontal="center"/>
      <protection locked="0"/>
    </xf>
    <xf numFmtId="0" fontId="28" fillId="0" borderId="0" xfId="0" applyFont="1" applyFill="1" applyBorder="1" applyAlignment="1" applyProtection="1">
      <alignment horizontal="right"/>
      <protection locked="0"/>
    </xf>
    <xf numFmtId="49" fontId="36" fillId="0" borderId="19" xfId="0" applyNumberFormat="1" applyFont="1" applyFill="1" applyBorder="1" applyAlignment="1" applyProtection="1">
      <alignment horizontal="right"/>
      <protection locked="0"/>
    </xf>
    <xf numFmtId="0" fontId="37" fillId="0" borderId="20" xfId="0" applyFont="1" applyFill="1" applyBorder="1" applyAlignment="1" applyProtection="1">
      <alignment horizontal="left"/>
      <protection locked="0"/>
    </xf>
    <xf numFmtId="0" fontId="36" fillId="0" borderId="19" xfId="0" applyFont="1" applyFill="1" applyBorder="1" applyAlignment="1" applyProtection="1">
      <alignment horizontal="right"/>
      <protection locked="0"/>
    </xf>
    <xf numFmtId="0" fontId="38" fillId="0" borderId="0" xfId="0" applyFont="1" applyFill="1" applyBorder="1" applyProtection="1">
      <protection locked="0"/>
    </xf>
    <xf numFmtId="0" fontId="39" fillId="0" borderId="0" xfId="0" applyFont="1" applyFill="1" applyBorder="1" applyAlignment="1" applyProtection="1">
      <alignment horizontal="left"/>
      <protection locked="0"/>
    </xf>
    <xf numFmtId="0" fontId="39" fillId="0" borderId="19" xfId="0" applyFont="1" applyFill="1" applyBorder="1" applyAlignment="1" applyProtection="1">
      <alignment horizontal="right"/>
      <protection locked="0"/>
    </xf>
    <xf numFmtId="0" fontId="28" fillId="0" borderId="19" xfId="0" applyFont="1" applyFill="1" applyBorder="1" applyAlignment="1" applyProtection="1">
      <alignment horizontal="right"/>
      <protection locked="0"/>
    </xf>
    <xf numFmtId="0" fontId="35" fillId="2" borderId="0" xfId="0" applyFont="1" applyFill="1" applyProtection="1">
      <protection locked="0"/>
    </xf>
    <xf numFmtId="0" fontId="2" fillId="0" borderId="0" xfId="0" applyFont="1" applyBorder="1" applyAlignment="1" applyProtection="1">
      <alignment horizontal="right"/>
      <protection locked="0"/>
    </xf>
    <xf numFmtId="0" fontId="0" fillId="0" borderId="0" xfId="0" applyFill="1" applyProtection="1">
      <protection locked="0"/>
    </xf>
    <xf numFmtId="0" fontId="39" fillId="0" borderId="19" xfId="0" applyFont="1" applyFill="1" applyBorder="1" applyAlignment="1" applyProtection="1">
      <alignment horizontal="left"/>
      <protection locked="0"/>
    </xf>
    <xf numFmtId="0" fontId="42" fillId="0" borderId="0" xfId="0" applyFont="1" applyFill="1" applyBorder="1" applyAlignment="1" applyProtection="1">
      <alignment horizontal="center"/>
      <protection locked="0"/>
    </xf>
    <xf numFmtId="0" fontId="0" fillId="0" borderId="0" xfId="0" applyFill="1" applyBorder="1" applyProtection="1">
      <protection locked="0"/>
    </xf>
    <xf numFmtId="0" fontId="0" fillId="0" borderId="13" xfId="0" applyBorder="1" applyAlignment="1" applyProtection="1">
      <alignment horizontal="center"/>
      <protection locked="0" hidden="1"/>
    </xf>
    <xf numFmtId="0" fontId="0" fillId="0" borderId="24" xfId="0" applyBorder="1" applyAlignment="1" applyProtection="1">
      <alignment horizontal="center"/>
      <protection locked="0" hidden="1"/>
    </xf>
    <xf numFmtId="0" fontId="0" fillId="0" borderId="25" xfId="0" applyBorder="1" applyAlignment="1" applyProtection="1">
      <alignment horizontal="center"/>
      <protection locked="0" hidden="1"/>
    </xf>
    <xf numFmtId="0" fontId="38" fillId="0" borderId="19" xfId="0" applyFont="1" applyFill="1" applyBorder="1" applyProtection="1">
      <protection locked="0"/>
    </xf>
    <xf numFmtId="0" fontId="32" fillId="0" borderId="26" xfId="0" applyFont="1" applyFill="1" applyBorder="1" applyAlignment="1" applyProtection="1">
      <alignment horizontal="center"/>
      <protection locked="0"/>
    </xf>
    <xf numFmtId="0" fontId="0" fillId="0" borderId="11" xfId="0" applyBorder="1" applyAlignment="1" applyProtection="1">
      <alignment horizontal="center"/>
      <protection locked="0" hidden="1"/>
    </xf>
    <xf numFmtId="0" fontId="0" fillId="0" borderId="0" xfId="0" applyBorder="1" applyAlignment="1" applyProtection="1">
      <alignment horizontal="center"/>
      <protection locked="0" hidden="1"/>
    </xf>
    <xf numFmtId="0" fontId="0" fillId="0" borderId="27" xfId="0" applyBorder="1" applyAlignment="1" applyProtection="1">
      <alignment horizontal="center"/>
      <protection locked="0" hidden="1"/>
    </xf>
    <xf numFmtId="0" fontId="42" fillId="0" borderId="0" xfId="0" applyFont="1" applyFill="1" applyBorder="1" applyAlignment="1" applyProtection="1">
      <alignment horizontal="right"/>
      <protection locked="0"/>
    </xf>
    <xf numFmtId="0" fontId="45" fillId="2" borderId="0" xfId="0" applyFont="1" applyFill="1" applyAlignment="1" applyProtection="1">
      <alignment horizontal="left" indent="1"/>
      <protection locked="0"/>
    </xf>
    <xf numFmtId="0" fontId="0" fillId="0" borderId="29" xfId="0" applyBorder="1" applyAlignment="1" applyProtection="1">
      <alignment horizontal="center"/>
      <protection locked="0" hidden="1"/>
    </xf>
    <xf numFmtId="0" fontId="0" fillId="0" borderId="10" xfId="0" applyBorder="1" applyAlignment="1" applyProtection="1">
      <alignment horizontal="center"/>
      <protection locked="0" hidden="1"/>
    </xf>
    <xf numFmtId="0" fontId="0" fillId="0" borderId="30" xfId="0" applyBorder="1" applyAlignment="1" applyProtection="1">
      <alignment horizontal="center"/>
      <protection locked="0" hidden="1"/>
    </xf>
    <xf numFmtId="0" fontId="37" fillId="0" borderId="0" xfId="0" applyFont="1" applyFill="1" applyBorder="1" applyAlignment="1" applyProtection="1">
      <alignment horizontal="left"/>
      <protection locked="0"/>
    </xf>
    <xf numFmtId="0" fontId="46" fillId="2" borderId="0" xfId="0" applyFont="1" applyFill="1" applyAlignment="1" applyProtection="1">
      <alignment horizontal="left"/>
      <protection locked="0"/>
    </xf>
    <xf numFmtId="0" fontId="28" fillId="0" borderId="19" xfId="0" applyFont="1" applyBorder="1" applyAlignment="1" applyProtection="1">
      <alignment horizontal="right"/>
      <protection locked="0"/>
    </xf>
    <xf numFmtId="0" fontId="47" fillId="0" borderId="0" xfId="0" applyFont="1" applyFill="1" applyBorder="1" applyAlignment="1" applyProtection="1">
      <alignment horizontal="left"/>
      <protection locked="0"/>
    </xf>
    <xf numFmtId="0" fontId="32" fillId="0" borderId="32" xfId="0" applyFont="1" applyFill="1" applyBorder="1" applyAlignment="1" applyProtection="1">
      <alignment horizontal="center"/>
      <protection locked="0"/>
    </xf>
    <xf numFmtId="165" fontId="28" fillId="0" borderId="13" xfId="0" applyNumberFormat="1" applyFont="1" applyFill="1" applyBorder="1" applyAlignment="1" applyProtection="1">
      <alignment horizontal="center"/>
      <protection locked="0"/>
    </xf>
    <xf numFmtId="165" fontId="28" fillId="0" borderId="28" xfId="0" applyNumberFormat="1" applyFont="1" applyFill="1" applyBorder="1" applyAlignment="1" applyProtection="1">
      <alignment horizontal="center"/>
      <protection locked="0"/>
    </xf>
    <xf numFmtId="165" fontId="28" fillId="0" borderId="34" xfId="0" applyNumberFormat="1" applyFont="1" applyFill="1" applyBorder="1" applyAlignment="1" applyProtection="1">
      <alignment horizontal="center"/>
      <protection locked="0"/>
    </xf>
    <xf numFmtId="165" fontId="28" fillId="0" borderId="29" xfId="0" applyNumberFormat="1" applyFont="1" applyFill="1" applyBorder="1" applyAlignment="1" applyProtection="1">
      <alignment horizontal="center"/>
      <protection locked="0"/>
    </xf>
    <xf numFmtId="165" fontId="28" fillId="0" borderId="33" xfId="0" applyNumberFormat="1" applyFont="1" applyFill="1" applyBorder="1" applyAlignment="1" applyProtection="1">
      <alignment horizontal="center"/>
      <protection locked="0"/>
    </xf>
    <xf numFmtId="165" fontId="28" fillId="0" borderId="35" xfId="0" applyNumberFormat="1" applyFont="1" applyFill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 hidden="1"/>
    </xf>
    <xf numFmtId="0" fontId="22" fillId="0" borderId="19" xfId="0" applyFont="1" applyFill="1" applyBorder="1" applyAlignment="1" applyProtection="1">
      <alignment horizontal="center"/>
      <protection locked="0"/>
    </xf>
    <xf numFmtId="0" fontId="48" fillId="0" borderId="0" xfId="0" applyFont="1" applyAlignment="1" applyProtection="1">
      <alignment horizontal="left"/>
      <protection locked="0"/>
    </xf>
    <xf numFmtId="0" fontId="28" fillId="0" borderId="0" xfId="0" applyFont="1" applyFill="1" applyBorder="1" applyAlignment="1" applyProtection="1">
      <alignment horizontal="center"/>
      <protection locked="0"/>
    </xf>
    <xf numFmtId="0" fontId="49" fillId="2" borderId="0" xfId="0" applyFont="1" applyFill="1" applyAlignment="1" applyProtection="1">
      <alignment horizontal="left"/>
      <protection locked="0"/>
    </xf>
    <xf numFmtId="0" fontId="50" fillId="5" borderId="0" xfId="0" applyFont="1" applyFill="1" applyAlignment="1" applyProtection="1">
      <alignment horizontal="left"/>
      <protection locked="0" hidden="1"/>
    </xf>
    <xf numFmtId="165" fontId="51" fillId="0" borderId="0" xfId="0" applyNumberFormat="1" applyFont="1" applyFill="1" applyBorder="1" applyAlignment="1" applyProtection="1">
      <alignment horizontal="left" vertical="top"/>
      <protection locked="0"/>
    </xf>
    <xf numFmtId="0" fontId="52" fillId="0" borderId="0" xfId="0" applyFont="1" applyFill="1" applyBorder="1" applyAlignment="1" applyProtection="1">
      <alignment horizontal="center"/>
      <protection locked="0"/>
    </xf>
    <xf numFmtId="0" fontId="0" fillId="0" borderId="0" xfId="0" applyAlignment="1" applyProtection="1">
      <alignment horizontal="left"/>
      <protection locked="0" hidden="1"/>
    </xf>
    <xf numFmtId="0" fontId="48" fillId="0" borderId="0" xfId="0" applyFont="1" applyProtection="1">
      <protection locked="0"/>
    </xf>
    <xf numFmtId="165" fontId="53" fillId="0" borderId="0" xfId="0" applyNumberFormat="1" applyFont="1" applyBorder="1" applyAlignment="1" applyProtection="1">
      <alignment horizontal="right"/>
      <protection locked="0"/>
    </xf>
    <xf numFmtId="1" fontId="28" fillId="0" borderId="0" xfId="0" applyNumberFormat="1" applyFont="1" applyFill="1" applyBorder="1" applyAlignment="1" applyProtection="1">
      <alignment horizontal="left"/>
      <protection locked="0"/>
    </xf>
    <xf numFmtId="0" fontId="52" fillId="0" borderId="0" xfId="0" applyFont="1" applyFill="1" applyBorder="1" applyAlignment="1" applyProtection="1">
      <alignment horizontal="center" vertical="center"/>
      <protection locked="0"/>
    </xf>
    <xf numFmtId="0" fontId="20" fillId="0" borderId="19" xfId="0" applyFont="1" applyFill="1" applyBorder="1" applyAlignment="1" applyProtection="1">
      <alignment horizontal="right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54" fillId="0" borderId="0" xfId="0" applyFont="1" applyProtection="1">
      <protection locked="0"/>
    </xf>
    <xf numFmtId="0" fontId="54" fillId="6" borderId="0" xfId="0" applyFont="1" applyFill="1" applyProtection="1">
      <protection locked="0"/>
    </xf>
    <xf numFmtId="0" fontId="55" fillId="5" borderId="0" xfId="0" applyFont="1" applyFill="1" applyAlignment="1" applyProtection="1">
      <alignment horizontal="left"/>
      <protection locked="0" hidden="1"/>
    </xf>
    <xf numFmtId="0" fontId="54" fillId="0" borderId="0" xfId="0" applyFont="1" applyProtection="1">
      <protection locked="0" hidden="1"/>
    </xf>
    <xf numFmtId="0" fontId="52" fillId="0" borderId="0" xfId="0" applyFont="1" applyProtection="1">
      <protection locked="0"/>
    </xf>
    <xf numFmtId="165" fontId="56" fillId="0" borderId="0" xfId="0" applyNumberFormat="1" applyFont="1" applyFill="1" applyBorder="1" applyAlignment="1" applyProtection="1">
      <alignment horizontal="left"/>
      <protection locked="0"/>
    </xf>
    <xf numFmtId="0" fontId="28" fillId="0" borderId="0" xfId="0" applyFont="1" applyProtection="1">
      <protection locked="0"/>
    </xf>
    <xf numFmtId="165" fontId="57" fillId="0" borderId="0" xfId="0" applyNumberFormat="1" applyFont="1" applyFill="1" applyBorder="1" applyAlignment="1" applyProtection="1">
      <alignment horizontal="center" vertical="top"/>
      <protection locked="0"/>
    </xf>
    <xf numFmtId="0" fontId="52" fillId="0" borderId="0" xfId="0" applyFont="1" applyFill="1" applyBorder="1" applyProtection="1">
      <protection locked="0"/>
    </xf>
    <xf numFmtId="0" fontId="40" fillId="2" borderId="0" xfId="0" applyFont="1" applyFill="1" applyAlignment="1" applyProtection="1">
      <alignment horizontal="left"/>
      <protection locked="0"/>
    </xf>
    <xf numFmtId="165" fontId="58" fillId="0" borderId="0" xfId="0" applyNumberFormat="1" applyFont="1" applyBorder="1" applyAlignment="1" applyProtection="1">
      <alignment horizontal="right"/>
      <protection locked="0"/>
    </xf>
    <xf numFmtId="0" fontId="50" fillId="0" borderId="0" xfId="0" applyFont="1" applyAlignment="1" applyProtection="1">
      <alignment horizontal="left"/>
      <protection locked="0" hidden="1"/>
    </xf>
    <xf numFmtId="0" fontId="40" fillId="2" borderId="0" xfId="0" applyFont="1" applyFill="1" applyProtection="1">
      <protection locked="0"/>
    </xf>
    <xf numFmtId="0" fontId="0" fillId="0" borderId="0" xfId="0" applyAlignment="1" applyProtection="1">
      <alignment horizontal="left"/>
      <protection locked="0"/>
    </xf>
    <xf numFmtId="0" fontId="0" fillId="0" borderId="0" xfId="0" applyAlignment="1" applyProtection="1">
      <alignment horizontal="center"/>
      <protection locked="0"/>
    </xf>
    <xf numFmtId="0" fontId="28" fillId="0" borderId="0" xfId="0" applyFont="1" applyAlignment="1" applyProtection="1">
      <alignment horizontal="left"/>
      <protection locked="0"/>
    </xf>
    <xf numFmtId="0" fontId="0" fillId="0" borderId="0" xfId="0" applyAlignment="1" applyProtection="1">
      <alignment horizontal="right"/>
      <protection locked="0"/>
    </xf>
    <xf numFmtId="165" fontId="60" fillId="0" borderId="0" xfId="0" applyNumberFormat="1" applyFont="1" applyFill="1" applyBorder="1" applyAlignment="1" applyProtection="1">
      <alignment horizontal="center"/>
      <protection locked="0"/>
    </xf>
    <xf numFmtId="0" fontId="61" fillId="2" borderId="0" xfId="0" applyFont="1" applyFill="1" applyProtection="1">
      <protection locked="0"/>
    </xf>
    <xf numFmtId="0" fontId="47" fillId="0" borderId="19" xfId="0" applyFont="1" applyFill="1" applyBorder="1" applyAlignment="1" applyProtection="1">
      <alignment horizontal="left"/>
      <protection locked="0"/>
    </xf>
    <xf numFmtId="0" fontId="62" fillId="2" borderId="0" xfId="0" applyFont="1" applyFill="1" applyProtection="1">
      <protection locked="0"/>
    </xf>
    <xf numFmtId="0" fontId="63" fillId="2" borderId="0" xfId="0" applyFont="1" applyFill="1" applyProtection="1">
      <protection locked="0"/>
    </xf>
    <xf numFmtId="0" fontId="25" fillId="0" borderId="36" xfId="0" applyFont="1" applyFill="1" applyBorder="1" applyAlignment="1" applyProtection="1">
      <alignment horizontal="right"/>
      <protection locked="0"/>
    </xf>
    <xf numFmtId="166" fontId="25" fillId="0" borderId="37" xfId="0" applyNumberFormat="1" applyFont="1" applyFill="1" applyBorder="1" applyAlignment="1" applyProtection="1">
      <alignment horizontal="center"/>
      <protection locked="0"/>
    </xf>
    <xf numFmtId="0" fontId="25" fillId="0" borderId="37" xfId="0" applyFont="1" applyFill="1" applyBorder="1" applyAlignment="1" applyProtection="1">
      <alignment horizontal="left"/>
      <protection locked="0"/>
    </xf>
    <xf numFmtId="0" fontId="64" fillId="0" borderId="37" xfId="0" applyFont="1" applyFill="1" applyBorder="1" applyProtection="1">
      <protection locked="0"/>
    </xf>
    <xf numFmtId="0" fontId="25" fillId="0" borderId="37" xfId="0" applyFont="1" applyFill="1" applyBorder="1" applyAlignment="1" applyProtection="1">
      <alignment horizontal="right"/>
      <protection locked="0"/>
    </xf>
    <xf numFmtId="0" fontId="64" fillId="0" borderId="38" xfId="0" applyFont="1" applyFill="1" applyBorder="1" applyProtection="1">
      <protection locked="0"/>
    </xf>
    <xf numFmtId="0" fontId="65" fillId="2" borderId="0" xfId="0" applyFont="1" applyFill="1" applyProtection="1">
      <protection locked="0"/>
    </xf>
    <xf numFmtId="0" fontId="64" fillId="0" borderId="0" xfId="0" applyFont="1" applyProtection="1">
      <protection locked="0"/>
    </xf>
    <xf numFmtId="0" fontId="66" fillId="2" borderId="0" xfId="0" applyFont="1" applyFill="1" applyAlignment="1" applyProtection="1">
      <alignment horizontal="left"/>
      <protection locked="0"/>
    </xf>
    <xf numFmtId="0" fontId="68" fillId="2" borderId="0" xfId="1" applyFont="1" applyFill="1" applyAlignment="1" applyProtection="1">
      <alignment horizontal="right"/>
      <protection locked="0"/>
    </xf>
    <xf numFmtId="0" fontId="69" fillId="2" borderId="0" xfId="0" applyFont="1" applyFill="1" applyProtection="1">
      <protection locked="0"/>
    </xf>
    <xf numFmtId="1" fontId="70" fillId="0" borderId="2" xfId="0" applyNumberFormat="1" applyFont="1" applyFill="1" applyBorder="1" applyAlignment="1" applyProtection="1">
      <alignment horizontal="left" vertical="center"/>
      <protection locked="0"/>
    </xf>
    <xf numFmtId="0" fontId="10" fillId="2" borderId="0" xfId="0" applyFont="1" applyFill="1" applyProtection="1">
      <protection locked="0"/>
    </xf>
    <xf numFmtId="1" fontId="30" fillId="0" borderId="0" xfId="0" applyNumberFormat="1" applyFont="1" applyFill="1" applyBorder="1" applyAlignment="1" applyProtection="1">
      <alignment horizontal="left"/>
      <protection locked="0"/>
    </xf>
    <xf numFmtId="1" fontId="30" fillId="0" borderId="0" xfId="0" applyNumberFormat="1" applyFont="1" applyFill="1" applyAlignment="1" applyProtection="1">
      <alignment horizontal="left"/>
      <protection locked="0"/>
    </xf>
    <xf numFmtId="1" fontId="39" fillId="0" borderId="10" xfId="0" applyNumberFormat="1" applyFont="1" applyFill="1" applyBorder="1" applyAlignment="1" applyProtection="1">
      <alignment horizontal="centerContinuous"/>
      <protection locked="0"/>
    </xf>
    <xf numFmtId="15" fontId="33" fillId="0" borderId="11" xfId="0" applyNumberFormat="1" applyFont="1" applyFill="1" applyBorder="1" applyAlignment="1" applyProtection="1">
      <alignment horizontal="center"/>
      <protection locked="0"/>
    </xf>
    <xf numFmtId="1" fontId="39" fillId="0" borderId="12" xfId="0" applyNumberFormat="1" applyFont="1" applyFill="1" applyBorder="1" applyAlignment="1" applyProtection="1">
      <alignment horizontal="centerContinuous"/>
      <protection locked="0"/>
    </xf>
    <xf numFmtId="1" fontId="39" fillId="0" borderId="15" xfId="0" applyNumberFormat="1" applyFont="1" applyFill="1" applyBorder="1" applyAlignment="1" applyProtection="1">
      <alignment horizontal="centerContinuous"/>
      <protection locked="0"/>
    </xf>
    <xf numFmtId="1" fontId="39" fillId="0" borderId="17" xfId="0" applyNumberFormat="1" applyFont="1" applyFill="1" applyBorder="1" applyAlignment="1" applyProtection="1">
      <alignment horizontal="centerContinuous"/>
      <protection locked="0"/>
    </xf>
    <xf numFmtId="1" fontId="39" fillId="0" borderId="18" xfId="0" applyNumberFormat="1" applyFont="1" applyFill="1" applyBorder="1" applyAlignment="1" applyProtection="1">
      <alignment horizontal="centerContinuous"/>
      <protection locked="0"/>
    </xf>
    <xf numFmtId="0" fontId="2" fillId="0" borderId="19" xfId="0" applyFont="1" applyFill="1" applyBorder="1" applyAlignment="1" applyProtection="1">
      <alignment horizontal="right" vertical="top"/>
      <protection locked="0"/>
    </xf>
    <xf numFmtId="0" fontId="2" fillId="0" borderId="0" xfId="0" applyFont="1" applyFill="1" applyBorder="1" applyAlignment="1" applyProtection="1">
      <alignment horizontal="right" vertical="top"/>
      <protection locked="0"/>
    </xf>
    <xf numFmtId="0" fontId="71" fillId="0" borderId="0" xfId="0" applyFont="1" applyProtection="1">
      <protection locked="0"/>
    </xf>
    <xf numFmtId="0" fontId="2" fillId="0" borderId="0" xfId="0" applyFont="1" applyFill="1" applyBorder="1" applyProtection="1">
      <protection locked="0"/>
    </xf>
    <xf numFmtId="0" fontId="2" fillId="0" borderId="20" xfId="0" applyFont="1" applyFill="1" applyBorder="1" applyProtection="1">
      <protection locked="0"/>
    </xf>
    <xf numFmtId="0" fontId="2" fillId="0" borderId="19" xfId="0" applyFont="1" applyFill="1" applyBorder="1" applyAlignment="1" applyProtection="1">
      <alignment horizontal="right"/>
      <protection locked="0"/>
    </xf>
    <xf numFmtId="165" fontId="2" fillId="0" borderId="0" xfId="0" applyNumberFormat="1" applyFont="1" applyAlignment="1" applyProtection="1">
      <alignment horizontal="center"/>
      <protection locked="0"/>
    </xf>
    <xf numFmtId="0" fontId="2" fillId="0" borderId="0" xfId="0" applyFont="1" applyAlignment="1" applyProtection="1">
      <alignment horizontal="left"/>
      <protection locked="0"/>
    </xf>
    <xf numFmtId="1" fontId="2" fillId="0" borderId="0" xfId="0" applyNumberFormat="1" applyFont="1" applyAlignment="1" applyProtection="1">
      <alignment horizontal="center"/>
      <protection locked="0"/>
    </xf>
    <xf numFmtId="0" fontId="39" fillId="0" borderId="0" xfId="0" applyFont="1" applyBorder="1" applyAlignment="1" applyProtection="1">
      <alignment horizontal="left"/>
      <protection locked="0"/>
    </xf>
    <xf numFmtId="0" fontId="2" fillId="0" borderId="0" xfId="0" applyFont="1" applyProtection="1">
      <protection locked="0"/>
    </xf>
    <xf numFmtId="0" fontId="0" fillId="0" borderId="20" xfId="0" applyBorder="1" applyProtection="1">
      <protection locked="0"/>
    </xf>
    <xf numFmtId="0" fontId="2" fillId="0" borderId="19" xfId="0" applyFont="1" applyBorder="1" applyAlignment="1" applyProtection="1">
      <alignment horizontal="center"/>
      <protection locked="0"/>
    </xf>
    <xf numFmtId="0" fontId="0" fillId="0" borderId="0" xfId="0" applyBorder="1" applyProtection="1">
      <protection locked="0"/>
    </xf>
    <xf numFmtId="0" fontId="2" fillId="0" borderId="0" xfId="0" applyFont="1" applyFill="1" applyBorder="1" applyAlignment="1" applyProtection="1">
      <alignment horizontal="right"/>
      <protection locked="0"/>
    </xf>
    <xf numFmtId="0" fontId="32" fillId="0" borderId="21" xfId="0" applyFont="1" applyBorder="1" applyAlignment="1" applyProtection="1">
      <alignment horizontal="center"/>
      <protection locked="0"/>
    </xf>
    <xf numFmtId="0" fontId="32" fillId="0" borderId="22" xfId="0" applyFont="1" applyBorder="1" applyAlignment="1" applyProtection="1">
      <alignment horizontal="center"/>
      <protection locked="0"/>
    </xf>
    <xf numFmtId="0" fontId="32" fillId="0" borderId="39" xfId="0" applyFont="1" applyBorder="1" applyAlignment="1" applyProtection="1">
      <alignment horizontal="center"/>
      <protection locked="0"/>
    </xf>
    <xf numFmtId="0" fontId="39" fillId="0" borderId="19" xfId="0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center"/>
      <protection locked="0"/>
    </xf>
    <xf numFmtId="165" fontId="2" fillId="0" borderId="29" xfId="0" applyNumberFormat="1" applyFont="1" applyBorder="1" applyAlignment="1" applyProtection="1">
      <alignment horizontal="center"/>
      <protection locked="0"/>
    </xf>
    <xf numFmtId="165" fontId="2" fillId="0" borderId="10" xfId="0" applyNumberFormat="1" applyFont="1" applyBorder="1" applyAlignment="1" applyProtection="1">
      <alignment horizontal="center"/>
      <protection locked="0"/>
    </xf>
    <xf numFmtId="165" fontId="2" fillId="0" borderId="40" xfId="0" applyNumberFormat="1" applyFont="1" applyBorder="1" applyAlignment="1" applyProtection="1">
      <alignment horizontal="center"/>
      <protection locked="0"/>
    </xf>
    <xf numFmtId="0" fontId="2" fillId="0" borderId="19" xfId="0" applyFont="1" applyBorder="1" applyAlignment="1" applyProtection="1">
      <alignment horizontal="right"/>
      <protection locked="0"/>
    </xf>
    <xf numFmtId="0" fontId="32" fillId="0" borderId="23" xfId="0" applyFont="1" applyBorder="1" applyAlignment="1" applyProtection="1">
      <alignment horizontal="center"/>
      <protection locked="0"/>
    </xf>
    <xf numFmtId="165" fontId="2" fillId="0" borderId="13" xfId="0" applyNumberFormat="1" applyFont="1" applyBorder="1" applyAlignment="1" applyProtection="1">
      <alignment horizontal="center"/>
      <protection locked="0"/>
    </xf>
    <xf numFmtId="165" fontId="2" fillId="0" borderId="24" xfId="0" applyNumberFormat="1" applyFont="1" applyBorder="1" applyAlignment="1" applyProtection="1">
      <alignment horizontal="center"/>
      <protection locked="0"/>
    </xf>
    <xf numFmtId="165" fontId="2" fillId="0" borderId="25" xfId="0" applyNumberFormat="1" applyFont="1" applyBorder="1" applyAlignment="1" applyProtection="1">
      <alignment horizontal="center"/>
      <protection locked="0"/>
    </xf>
    <xf numFmtId="0" fontId="50" fillId="0" borderId="0" xfId="0" applyFont="1" applyFill="1" applyBorder="1" applyAlignment="1" applyProtection="1">
      <alignment horizontal="left"/>
      <protection locked="0"/>
    </xf>
    <xf numFmtId="0" fontId="2" fillId="0" borderId="20" xfId="0" applyFont="1" applyBorder="1" applyProtection="1">
      <protection locked="0"/>
    </xf>
    <xf numFmtId="165" fontId="2" fillId="0" borderId="11" xfId="0" applyNumberFormat="1" applyFont="1" applyBorder="1" applyAlignment="1" applyProtection="1">
      <alignment horizontal="center"/>
      <protection locked="0"/>
    </xf>
    <xf numFmtId="165" fontId="2" fillId="0" borderId="0" xfId="0" applyNumberFormat="1" applyFont="1" applyBorder="1" applyAlignment="1" applyProtection="1">
      <alignment horizontal="center"/>
      <protection locked="0"/>
    </xf>
    <xf numFmtId="165" fontId="2" fillId="0" borderId="27" xfId="0" applyNumberFormat="1" applyFont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165" fontId="2" fillId="0" borderId="30" xfId="0" applyNumberFormat="1" applyFont="1" applyBorder="1" applyAlignment="1" applyProtection="1">
      <alignment horizontal="center"/>
      <protection locked="0"/>
    </xf>
    <xf numFmtId="0" fontId="33" fillId="0" borderId="19" xfId="0" applyFont="1" applyBorder="1" applyAlignment="1" applyProtection="1">
      <alignment horizontal="left"/>
      <protection locked="0"/>
    </xf>
    <xf numFmtId="0" fontId="2" fillId="0" borderId="0" xfId="0" applyFont="1" applyAlignment="1" applyProtection="1">
      <alignment horizontal="right"/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1" fontId="2" fillId="0" borderId="11" xfId="0" applyNumberFormat="1" applyFont="1" applyBorder="1" applyAlignment="1" applyProtection="1">
      <alignment horizontal="center"/>
      <protection locked="0"/>
    </xf>
    <xf numFmtId="1" fontId="2" fillId="0" borderId="27" xfId="0" applyNumberFormat="1" applyFont="1" applyBorder="1" applyAlignment="1" applyProtection="1">
      <alignment horizontal="center"/>
      <protection locked="0"/>
    </xf>
    <xf numFmtId="0" fontId="2" fillId="0" borderId="0" xfId="0" applyFont="1" applyAlignment="1" applyProtection="1">
      <alignment horizontal="center"/>
      <protection locked="0"/>
    </xf>
    <xf numFmtId="167" fontId="2" fillId="0" borderId="11" xfId="0" applyNumberFormat="1" applyFont="1" applyBorder="1" applyAlignment="1" applyProtection="1">
      <alignment horizontal="center"/>
      <protection locked="0"/>
    </xf>
    <xf numFmtId="167" fontId="2" fillId="0" borderId="27" xfId="0" applyNumberFormat="1" applyFont="1" applyBorder="1" applyAlignment="1" applyProtection="1">
      <alignment horizontal="center"/>
      <protection locked="0"/>
    </xf>
    <xf numFmtId="165" fontId="0" fillId="0" borderId="0" xfId="0" applyNumberFormat="1" applyBorder="1" applyAlignment="1" applyProtection="1">
      <alignment horizontal="center"/>
      <protection locked="0"/>
    </xf>
    <xf numFmtId="168" fontId="3" fillId="0" borderId="0" xfId="0" applyNumberFormat="1" applyFont="1" applyBorder="1" applyAlignment="1" applyProtection="1">
      <alignment horizontal="center"/>
      <protection locked="0"/>
    </xf>
    <xf numFmtId="0" fontId="2" fillId="0" borderId="11" xfId="0" applyNumberFormat="1" applyFont="1" applyBorder="1" applyAlignment="1" applyProtection="1">
      <alignment horizontal="center"/>
      <protection locked="0"/>
    </xf>
    <xf numFmtId="0" fontId="2" fillId="0" borderId="27" xfId="0" applyNumberFormat="1" applyFont="1" applyBorder="1" applyAlignment="1" applyProtection="1">
      <alignment horizontal="center"/>
      <protection locked="0"/>
    </xf>
    <xf numFmtId="167" fontId="2" fillId="0" borderId="20" xfId="0" applyNumberFormat="1" applyFont="1" applyBorder="1" applyAlignment="1" applyProtection="1">
      <alignment horizontal="left"/>
      <protection locked="0"/>
    </xf>
    <xf numFmtId="1" fontId="0" fillId="0" borderId="0" xfId="0" applyNumberFormat="1" applyBorder="1" applyAlignment="1" applyProtection="1">
      <alignment horizontal="center"/>
      <protection locked="0"/>
    </xf>
    <xf numFmtId="1" fontId="2" fillId="0" borderId="0" xfId="0" applyNumberFormat="1" applyFont="1" applyProtection="1">
      <protection locked="0"/>
    </xf>
    <xf numFmtId="1" fontId="2" fillId="0" borderId="0" xfId="0" applyNumberFormat="1" applyFont="1" applyBorder="1" applyAlignment="1" applyProtection="1">
      <alignment horizontal="right"/>
      <protection locked="0"/>
    </xf>
    <xf numFmtId="10" fontId="2" fillId="0" borderId="20" xfId="0" applyNumberFormat="1" applyFont="1" applyBorder="1" applyAlignment="1" applyProtection="1">
      <alignment horizontal="left"/>
      <protection locked="0"/>
    </xf>
    <xf numFmtId="167" fontId="2" fillId="0" borderId="0" xfId="0" applyNumberFormat="1" applyFont="1" applyAlignment="1" applyProtection="1">
      <alignment horizontal="center"/>
      <protection locked="0"/>
    </xf>
    <xf numFmtId="165" fontId="0" fillId="0" borderId="27" xfId="0" applyNumberFormat="1" applyBorder="1" applyAlignment="1" applyProtection="1">
      <alignment horizontal="center"/>
      <protection locked="0"/>
    </xf>
    <xf numFmtId="165" fontId="53" fillId="0" borderId="0" xfId="0" applyNumberFormat="1" applyFont="1" applyBorder="1" applyAlignment="1" applyProtection="1">
      <alignment horizontal="center"/>
      <protection locked="0"/>
    </xf>
    <xf numFmtId="167" fontId="0" fillId="0" borderId="27" xfId="0" applyNumberFormat="1" applyBorder="1" applyAlignment="1" applyProtection="1">
      <alignment horizontal="center"/>
      <protection locked="0"/>
    </xf>
    <xf numFmtId="0" fontId="73" fillId="2" borderId="0" xfId="0" applyFont="1" applyFill="1" applyAlignment="1" applyProtection="1">
      <alignment horizontal="left"/>
      <protection locked="0"/>
    </xf>
    <xf numFmtId="165" fontId="58" fillId="0" borderId="0" xfId="0" applyNumberFormat="1" applyFont="1" applyBorder="1" applyAlignment="1" applyProtection="1">
      <alignment horizontal="left"/>
      <protection locked="0"/>
    </xf>
    <xf numFmtId="0" fontId="2" fillId="0" borderId="0" xfId="0" applyFont="1" applyBorder="1" applyAlignment="1" applyProtection="1">
      <alignment horizontal="left"/>
      <protection locked="0"/>
    </xf>
    <xf numFmtId="165" fontId="0" fillId="0" borderId="0" xfId="0" applyNumberFormat="1" applyBorder="1" applyAlignment="1" applyProtection="1">
      <alignment horizontal="left"/>
      <protection locked="0"/>
    </xf>
    <xf numFmtId="0" fontId="74" fillId="0" borderId="19" xfId="0" applyFont="1" applyBorder="1" applyAlignment="1" applyProtection="1">
      <alignment horizontal="center"/>
      <protection locked="0"/>
    </xf>
    <xf numFmtId="168" fontId="68" fillId="0" borderId="0" xfId="0" applyNumberFormat="1" applyFont="1" applyBorder="1" applyAlignment="1" applyProtection="1">
      <alignment horizontal="right"/>
      <protection locked="0"/>
    </xf>
    <xf numFmtId="0" fontId="2" fillId="0" borderId="0" xfId="0" applyNumberFormat="1" applyFont="1" applyAlignment="1" applyProtection="1">
      <alignment horizontal="left"/>
      <protection locked="0"/>
    </xf>
    <xf numFmtId="167" fontId="0" fillId="0" borderId="0" xfId="0" applyNumberFormat="1" applyBorder="1" applyAlignment="1" applyProtection="1">
      <alignment horizontal="left"/>
      <protection locked="0"/>
    </xf>
    <xf numFmtId="166" fontId="2" fillId="0" borderId="0" xfId="0" applyNumberFormat="1" applyFont="1" applyAlignment="1" applyProtection="1">
      <alignment horizontal="left"/>
      <protection locked="0"/>
    </xf>
    <xf numFmtId="0" fontId="3" fillId="0" borderId="0" xfId="0" applyFont="1" applyProtection="1">
      <protection locked="0"/>
    </xf>
    <xf numFmtId="165" fontId="2" fillId="0" borderId="0" xfId="0" applyNumberFormat="1" applyFont="1" applyAlignment="1" applyProtection="1">
      <alignment horizontal="left"/>
      <protection locked="0"/>
    </xf>
    <xf numFmtId="167" fontId="0" fillId="0" borderId="0" xfId="0" applyNumberFormat="1" applyBorder="1" applyAlignment="1" applyProtection="1">
      <alignment horizontal="right"/>
      <protection locked="0"/>
    </xf>
    <xf numFmtId="165" fontId="2" fillId="0" borderId="0" xfId="0" applyNumberFormat="1" applyFont="1" applyBorder="1" applyAlignment="1" applyProtection="1">
      <alignment horizontal="left"/>
      <protection locked="0"/>
    </xf>
    <xf numFmtId="165" fontId="53" fillId="0" borderId="0" xfId="0" applyNumberFormat="1" applyFont="1" applyBorder="1" applyAlignment="1" applyProtection="1">
      <alignment horizontal="left"/>
      <protection locked="0"/>
    </xf>
    <xf numFmtId="1" fontId="2" fillId="0" borderId="0" xfId="0" applyNumberFormat="1" applyFont="1" applyBorder="1" applyAlignment="1" applyProtection="1">
      <alignment horizontal="center"/>
      <protection locked="0"/>
    </xf>
    <xf numFmtId="0" fontId="0" fillId="0" borderId="0" xfId="0" applyNumberFormat="1" applyBorder="1" applyAlignment="1" applyProtection="1">
      <alignment horizontal="left"/>
      <protection locked="0"/>
    </xf>
    <xf numFmtId="0" fontId="0" fillId="0" borderId="0" xfId="0" applyBorder="1" applyAlignment="1" applyProtection="1">
      <alignment horizontal="right"/>
      <protection locked="0"/>
    </xf>
    <xf numFmtId="166" fontId="2" fillId="0" borderId="0" xfId="0" applyNumberFormat="1" applyFont="1" applyBorder="1" applyAlignment="1" applyProtection="1">
      <alignment horizontal="left"/>
      <protection locked="0"/>
    </xf>
    <xf numFmtId="165" fontId="0" fillId="0" borderId="0" xfId="0" applyNumberFormat="1" applyAlignment="1" applyProtection="1">
      <alignment horizontal="left"/>
      <protection locked="0"/>
    </xf>
    <xf numFmtId="165" fontId="3" fillId="0" borderId="0" xfId="0" applyNumberFormat="1" applyFont="1" applyBorder="1" applyAlignment="1" applyProtection="1">
      <alignment horizontal="left"/>
      <protection locked="0"/>
    </xf>
    <xf numFmtId="0" fontId="3" fillId="0" borderId="0" xfId="0" applyFont="1" applyAlignment="1" applyProtection="1">
      <alignment horizontal="left"/>
      <protection locked="0"/>
    </xf>
    <xf numFmtId="0" fontId="75" fillId="0" borderId="0" xfId="0" applyFont="1" applyBorder="1" applyAlignment="1" applyProtection="1">
      <alignment horizontal="right"/>
      <protection locked="0"/>
    </xf>
    <xf numFmtId="1" fontId="2" fillId="0" borderId="0" xfId="0" applyNumberFormat="1" applyFont="1" applyAlignment="1" applyProtection="1">
      <alignment horizontal="left"/>
      <protection locked="0"/>
    </xf>
    <xf numFmtId="0" fontId="76" fillId="7" borderId="0" xfId="0" applyFont="1" applyFill="1" applyBorder="1" applyAlignment="1" applyProtection="1">
      <alignment horizontal="left"/>
      <protection locked="0"/>
    </xf>
    <xf numFmtId="166" fontId="0" fillId="0" borderId="0" xfId="0" applyNumberFormat="1" applyAlignment="1" applyProtection="1">
      <alignment horizontal="left"/>
      <protection locked="0"/>
    </xf>
    <xf numFmtId="0" fontId="25" fillId="0" borderId="36" xfId="0" applyFont="1" applyBorder="1" applyAlignment="1" applyProtection="1">
      <alignment horizontal="right"/>
      <protection locked="0"/>
    </xf>
    <xf numFmtId="0" fontId="25" fillId="0" borderId="37" xfId="0" applyFont="1" applyBorder="1" applyAlignment="1" applyProtection="1">
      <alignment horizontal="left"/>
      <protection locked="0"/>
    </xf>
    <xf numFmtId="0" fontId="25" fillId="0" borderId="37" xfId="0" applyFont="1" applyBorder="1" applyProtection="1">
      <protection locked="0"/>
    </xf>
    <xf numFmtId="0" fontId="25" fillId="0" borderId="37" xfId="0" applyFont="1" applyBorder="1" applyAlignment="1" applyProtection="1">
      <alignment horizontal="right"/>
      <protection locked="0"/>
    </xf>
    <xf numFmtId="165" fontId="77" fillId="0" borderId="37" xfId="0" applyNumberFormat="1" applyFont="1" applyBorder="1" applyAlignment="1" applyProtection="1">
      <alignment horizontal="left"/>
      <protection locked="0"/>
    </xf>
    <xf numFmtId="0" fontId="78" fillId="0" borderId="37" xfId="0" applyFont="1" applyBorder="1" applyProtection="1">
      <protection locked="0"/>
    </xf>
    <xf numFmtId="0" fontId="25" fillId="0" borderId="38" xfId="0" applyFont="1" applyBorder="1" applyProtection="1">
      <protection locked="0"/>
    </xf>
    <xf numFmtId="0" fontId="79" fillId="2" borderId="0" xfId="0" applyFont="1" applyFill="1" applyProtection="1">
      <protection locked="0"/>
    </xf>
    <xf numFmtId="0" fontId="2" fillId="6" borderId="0" xfId="0" applyFont="1" applyFill="1" applyProtection="1">
      <protection locked="0"/>
    </xf>
    <xf numFmtId="0" fontId="85" fillId="9" borderId="0" xfId="0" applyFont="1" applyFill="1" applyProtection="1">
      <protection locked="0"/>
    </xf>
    <xf numFmtId="0" fontId="2" fillId="0" borderId="11" xfId="0" applyFont="1" applyBorder="1" applyAlignment="1" applyProtection="1">
      <alignment horizontal="center"/>
      <protection locked="0"/>
    </xf>
    <xf numFmtId="0" fontId="2" fillId="0" borderId="27" xfId="0" applyFont="1" applyBorder="1" applyAlignment="1" applyProtection="1">
      <alignment horizontal="center"/>
      <protection locked="0"/>
    </xf>
    <xf numFmtId="165" fontId="2" fillId="0" borderId="29" xfId="0" applyNumberFormat="1" applyFont="1" applyBorder="1" applyAlignment="1" applyProtection="1">
      <alignment horizontal="center"/>
      <protection locked="0"/>
    </xf>
    <xf numFmtId="165" fontId="2" fillId="0" borderId="30" xfId="0" applyNumberFormat="1" applyFont="1" applyBorder="1" applyAlignment="1" applyProtection="1">
      <alignment horizontal="center"/>
      <protection locked="0"/>
    </xf>
    <xf numFmtId="0" fontId="72" fillId="0" borderId="0" xfId="0" applyFont="1" applyBorder="1" applyAlignment="1" applyProtection="1">
      <alignment horizontal="center"/>
      <protection locked="0"/>
    </xf>
    <xf numFmtId="0" fontId="80" fillId="0" borderId="0" xfId="0" applyFont="1" applyAlignment="1" applyProtection="1">
      <alignment horizontal="left" vertical="top"/>
    </xf>
    <xf numFmtId="0" fontId="0" fillId="0" borderId="0" xfId="0" applyAlignment="1" applyProtection="1">
      <alignment horizontal="left" vertical="top"/>
    </xf>
    <xf numFmtId="0" fontId="0" fillId="0" borderId="0" xfId="0" applyAlignment="1" applyProtection="1">
      <alignment horizontal="left"/>
    </xf>
    <xf numFmtId="165" fontId="2" fillId="0" borderId="11" xfId="0" applyNumberFormat="1" applyFont="1" applyBorder="1" applyAlignment="1" applyProtection="1">
      <alignment horizontal="center"/>
      <protection locked="0"/>
    </xf>
    <xf numFmtId="165" fontId="2" fillId="0" borderId="27" xfId="0" applyNumberFormat="1" applyFont="1" applyBorder="1" applyAlignment="1" applyProtection="1">
      <alignment horizontal="center"/>
      <protection locked="0"/>
    </xf>
    <xf numFmtId="1" fontId="0" fillId="0" borderId="13" xfId="0" applyNumberFormat="1" applyBorder="1" applyAlignment="1" applyProtection="1">
      <alignment horizontal="center"/>
      <protection locked="0"/>
    </xf>
    <xf numFmtId="1" fontId="0" fillId="0" borderId="25" xfId="0" applyNumberFormat="1" applyBorder="1" applyAlignment="1" applyProtection="1">
      <alignment horizontal="center"/>
      <protection locked="0"/>
    </xf>
    <xf numFmtId="166" fontId="2" fillId="0" borderId="11" xfId="0" applyNumberFormat="1" applyFont="1" applyBorder="1" applyAlignment="1" applyProtection="1">
      <alignment horizontal="center"/>
      <protection locked="0"/>
    </xf>
    <xf numFmtId="166" fontId="2" fillId="0" borderId="27" xfId="0" applyNumberFormat="1" applyFont="1" applyBorder="1" applyAlignment="1" applyProtection="1">
      <alignment horizontal="center"/>
      <protection locked="0"/>
    </xf>
    <xf numFmtId="167" fontId="2" fillId="0" borderId="11" xfId="0" applyNumberFormat="1" applyFont="1" applyBorder="1" applyAlignment="1" applyProtection="1">
      <alignment horizontal="center"/>
      <protection locked="0"/>
    </xf>
    <xf numFmtId="167" fontId="2" fillId="0" borderId="27" xfId="0" applyNumberFormat="1" applyFont="1" applyBorder="1" applyAlignment="1" applyProtection="1">
      <alignment horizontal="center"/>
      <protection locked="0"/>
    </xf>
    <xf numFmtId="165" fontId="0" fillId="0" borderId="29" xfId="0" applyNumberFormat="1" applyBorder="1" applyAlignment="1" applyProtection="1">
      <alignment horizontal="center"/>
      <protection locked="0"/>
    </xf>
    <xf numFmtId="165" fontId="0" fillId="0" borderId="30" xfId="0" applyNumberFormat="1" applyBorder="1" applyAlignment="1" applyProtection="1">
      <alignment horizontal="center"/>
      <protection locked="0"/>
    </xf>
    <xf numFmtId="0" fontId="72" fillId="0" borderId="21" xfId="0" applyFont="1" applyBorder="1" applyAlignment="1" applyProtection="1">
      <alignment horizontal="center"/>
      <protection locked="0"/>
    </xf>
    <xf numFmtId="0" fontId="72" fillId="0" borderId="22" xfId="0" applyFont="1" applyBorder="1" applyAlignment="1" applyProtection="1">
      <alignment horizontal="center"/>
      <protection locked="0"/>
    </xf>
    <xf numFmtId="0" fontId="72" fillId="0" borderId="24" xfId="0" applyFont="1" applyBorder="1" applyAlignment="1" applyProtection="1">
      <alignment horizontal="center"/>
      <protection locked="0"/>
    </xf>
    <xf numFmtId="0" fontId="72" fillId="0" borderId="25" xfId="0" applyFont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/>
      <protection locked="0"/>
    </xf>
    <xf numFmtId="165" fontId="0" fillId="0" borderId="11" xfId="0" applyNumberFormat="1" applyBorder="1" applyAlignment="1" applyProtection="1">
      <alignment horizontal="center"/>
      <protection locked="0"/>
    </xf>
    <xf numFmtId="165" fontId="0" fillId="0" borderId="27" xfId="0" applyNumberFormat="1" applyBorder="1" applyAlignment="1" applyProtection="1">
      <alignment horizontal="center"/>
      <protection locked="0"/>
    </xf>
    <xf numFmtId="0" fontId="62" fillId="0" borderId="0" xfId="0" applyFont="1" applyFill="1" applyBorder="1" applyAlignment="1" applyProtection="1">
      <alignment horizontal="right" vertical="center" wrapText="1"/>
      <protection locked="0"/>
    </xf>
    <xf numFmtId="0" fontId="14" fillId="0" borderId="7" xfId="0" applyFont="1" applyBorder="1" applyAlignment="1" applyProtection="1">
      <alignment vertical="center" wrapText="1"/>
      <protection locked="0"/>
    </xf>
    <xf numFmtId="0" fontId="14" fillId="0" borderId="0" xfId="0" applyFont="1" applyBorder="1" applyAlignment="1" applyProtection="1">
      <alignment vertical="center" wrapText="1"/>
      <protection locked="0"/>
    </xf>
    <xf numFmtId="0" fontId="72" fillId="0" borderId="13" xfId="0" applyFont="1" applyBorder="1" applyAlignment="1" applyProtection="1">
      <alignment horizontal="center"/>
      <protection locked="0"/>
    </xf>
    <xf numFmtId="0" fontId="32" fillId="0" borderId="26" xfId="0" applyFont="1" applyBorder="1" applyAlignment="1" applyProtection="1">
      <alignment horizontal="center"/>
      <protection locked="0"/>
    </xf>
    <xf numFmtId="165" fontId="0" fillId="0" borderId="13" xfId="0" applyNumberFormat="1" applyBorder="1" applyAlignment="1" applyProtection="1">
      <alignment horizontal="center"/>
      <protection locked="0"/>
    </xf>
    <xf numFmtId="165" fontId="0" fillId="0" borderId="25" xfId="0" applyNumberFormat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/>
      <protection locked="0" hidden="1"/>
    </xf>
    <xf numFmtId="0" fontId="3" fillId="0" borderId="22" xfId="0" applyFont="1" applyBorder="1" applyAlignment="1" applyProtection="1">
      <alignment horizontal="center"/>
      <protection locked="0" hidden="1"/>
    </xf>
    <xf numFmtId="0" fontId="3" fillId="0" borderId="23" xfId="0" applyFont="1" applyBorder="1" applyAlignment="1" applyProtection="1">
      <alignment horizontal="center"/>
      <protection locked="0" hidden="1"/>
    </xf>
    <xf numFmtId="0" fontId="42" fillId="0" borderId="0" xfId="0" applyFont="1" applyFill="1" applyBorder="1" applyAlignment="1" applyProtection="1">
      <alignment horizontal="left" vertical="top" indent="2"/>
      <protection locked="0"/>
    </xf>
    <xf numFmtId="0" fontId="42" fillId="0" borderId="20" xfId="0" applyFont="1" applyFill="1" applyBorder="1" applyAlignment="1" applyProtection="1">
      <alignment horizontal="left" vertical="top" indent="2"/>
      <protection locked="0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20" xfId="0" applyFont="1" applyFill="1" applyBorder="1" applyAlignment="1" applyProtection="1">
      <alignment horizontal="left" vertical="top" wrapText="1"/>
      <protection locked="0"/>
    </xf>
    <xf numFmtId="0" fontId="59" fillId="0" borderId="0" xfId="0" applyFont="1" applyFill="1" applyBorder="1" applyAlignment="1" applyProtection="1">
      <alignment horizontal="center"/>
      <protection locked="0"/>
    </xf>
    <xf numFmtId="0" fontId="31" fillId="0" borderId="0" xfId="0" applyFont="1" applyFill="1" applyBorder="1" applyAlignment="1" applyProtection="1">
      <alignment horizontal="center"/>
      <protection locked="0"/>
    </xf>
    <xf numFmtId="1" fontId="11" fillId="0" borderId="2" xfId="0" applyNumberFormat="1" applyFont="1" applyFill="1" applyBorder="1" applyAlignment="1" applyProtection="1">
      <alignment horizontal="center" vertical="center" wrapText="1"/>
      <protection locked="0"/>
    </xf>
    <xf numFmtId="0" fontId="11" fillId="0" borderId="3" xfId="0" applyFont="1" applyBorder="1" applyAlignment="1" applyProtection="1">
      <alignment horizontal="center" vertical="center" wrapText="1"/>
      <protection locked="0"/>
    </xf>
    <xf numFmtId="0" fontId="11" fillId="0" borderId="0" xfId="0" applyFont="1" applyAlignment="1" applyProtection="1">
      <alignment horizontal="center" vertical="center" wrapText="1"/>
      <protection locked="0"/>
    </xf>
    <xf numFmtId="0" fontId="11" fillId="0" borderId="7" xfId="0" applyFont="1" applyBorder="1" applyAlignment="1" applyProtection="1">
      <alignment horizontal="center" vertical="center" wrapText="1"/>
      <protection locked="0"/>
    </xf>
    <xf numFmtId="1" fontId="12" fillId="0" borderId="4" xfId="0" applyNumberFormat="1" applyFont="1" applyFill="1" applyBorder="1" applyAlignment="1" applyProtection="1">
      <alignment horizontal="center" vertical="center" wrapText="1"/>
      <protection locked="0"/>
    </xf>
    <xf numFmtId="0" fontId="13" fillId="0" borderId="4" xfId="0" applyFont="1" applyFill="1" applyBorder="1" applyAlignment="1" applyProtection="1">
      <alignment horizontal="center" vertical="center" wrapText="1"/>
      <protection locked="0"/>
    </xf>
    <xf numFmtId="0" fontId="13" fillId="0" borderId="5" xfId="0" applyFont="1" applyFill="1" applyBorder="1" applyAlignment="1" applyProtection="1">
      <alignment horizontal="center" vertical="center" wrapText="1"/>
      <protection locked="0"/>
    </xf>
    <xf numFmtId="0" fontId="22" fillId="0" borderId="0" xfId="0" applyFont="1" applyFill="1" applyBorder="1" applyAlignment="1" applyProtection="1">
      <alignment horizontal="center" vertical="center" wrapText="1"/>
      <protection locked="0"/>
    </xf>
    <xf numFmtId="0" fontId="22" fillId="0" borderId="7" xfId="0" applyFont="1" applyFill="1" applyBorder="1" applyAlignment="1" applyProtection="1">
      <alignment horizontal="center" vertical="center" wrapText="1"/>
      <protection locked="0"/>
    </xf>
    <xf numFmtId="0" fontId="14" fillId="3" borderId="6" xfId="0" applyFont="1" applyFill="1" applyBorder="1" applyAlignment="1" applyProtection="1">
      <alignment horizontal="left" wrapText="1"/>
      <protection locked="0"/>
    </xf>
    <xf numFmtId="0" fontId="26" fillId="0" borderId="6" xfId="0" applyFont="1" applyBorder="1" applyAlignment="1" applyProtection="1">
      <alignment wrapText="1"/>
      <protection locked="0"/>
    </xf>
    <xf numFmtId="0" fontId="32" fillId="0" borderId="0" xfId="0" applyFont="1" applyFill="1" applyBorder="1" applyAlignment="1" applyProtection="1">
      <alignment horizontal="center"/>
      <protection locked="0"/>
    </xf>
    <xf numFmtId="0" fontId="32" fillId="0" borderId="19" xfId="0" applyFont="1" applyFill="1" applyBorder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27">
    <dxf>
      <font>
        <condense val="0"/>
        <extend val="0"/>
        <color indexed="22"/>
      </font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condense val="0"/>
        <extend val="0"/>
        <color indexed="14"/>
      </font>
    </dxf>
    <dxf>
      <font>
        <b val="0"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22"/>
      </font>
    </dxf>
    <dxf>
      <font>
        <condense val="0"/>
        <extend val="0"/>
        <color indexed="22"/>
      </font>
    </dxf>
    <dxf>
      <font>
        <b/>
        <i val="0"/>
        <condense val="0"/>
        <extend val="0"/>
        <color indexed="6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6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u val="none"/>
        <color indexed="14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 val="0"/>
        <i val="0"/>
        <condense val="0"/>
        <extend val="0"/>
        <color indexed="10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condense val="0"/>
        <extend val="0"/>
        <u val="none"/>
        <color indexed="1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7027918731482643E-2"/>
          <c:y val="2.3148922189536132E-2"/>
          <c:w val="0.95949111496763384"/>
          <c:h val="0.96299516308470312"/>
        </c:manualLayout>
      </c:layout>
      <c:scatterChart>
        <c:scatterStyle val="lineMarker"/>
        <c:varyColors val="0"/>
        <c:ser>
          <c:idx val="2"/>
          <c:order val="0"/>
          <c:tx>
            <c:v>Control</c:v>
          </c:tx>
          <c:spPr>
            <a:ln w="12700">
              <a:solidFill>
                <a:srgbClr val="FFFFFF"/>
              </a:solidFill>
              <a:prstDash val="solid"/>
            </a:ln>
          </c:spPr>
          <c:marker>
            <c:symbol val="none"/>
          </c:marker>
          <c:xVal>
            <c:numRef>
              <c:f>[1]Graf!$G$72:$H$72</c:f>
              <c:numCache>
                <c:formatCode>General</c:formatCode>
                <c:ptCount val="2"/>
                <c:pt idx="0">
                  <c:v>0</c:v>
                </c:pt>
                <c:pt idx="1">
                  <c:v>2000</c:v>
                </c:pt>
              </c:numCache>
            </c:numRef>
          </c:xVal>
          <c:yVal>
            <c:numRef>
              <c:f>[1]Graf!$G$73:$H$73</c:f>
              <c:numCache>
                <c:formatCode>General</c:formatCode>
                <c:ptCount val="2"/>
                <c:pt idx="0">
                  <c:v>0</c:v>
                </c:pt>
                <c:pt idx="1">
                  <c:v>2000</c:v>
                </c:pt>
              </c:numCache>
            </c:numRef>
          </c:yVal>
          <c:smooth val="0"/>
        </c:ser>
        <c:ser>
          <c:idx val="0"/>
          <c:order val="1"/>
          <c:tx>
            <c:v>Cap</c:v>
          </c:tx>
          <c:spPr>
            <a:ln w="25400">
              <a:solidFill>
                <a:srgbClr val="333333"/>
              </a:solidFill>
              <a:prstDash val="solid"/>
            </a:ln>
          </c:spPr>
          <c:marker>
            <c:symbol val="none"/>
          </c:marker>
          <c:xVal>
            <c:numRef>
              <c:f>[1]Graf!$C$72:$G$72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0</c:v>
                </c:pt>
              </c:numCache>
            </c:numRef>
          </c:xVal>
          <c:yVal>
            <c:numRef>
              <c:f>[1]Graf!$C$73:$G$73</c:f>
              <c:numCache>
                <c:formatCode>General</c:formatCode>
                <c:ptCount val="5"/>
                <c:pt idx="0">
                  <c:v>0</c:v>
                </c:pt>
                <c:pt idx="1">
                  <c:v>2000</c:v>
                </c:pt>
                <c:pt idx="2">
                  <c:v>2000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ser>
          <c:idx val="3"/>
          <c:order val="2"/>
          <c:tx>
            <c:v>Pile 1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[1]Graf!$C$79:$AM$79</c:f>
              <c:numCache>
                <c:formatCode>General</c:formatCode>
                <c:ptCount val="37"/>
                <c:pt idx="0">
                  <c:v>350</c:v>
                </c:pt>
                <c:pt idx="1">
                  <c:v>317.44096668745055</c:v>
                </c:pt>
                <c:pt idx="2">
                  <c:v>285.87122312643714</c:v>
                </c:pt>
                <c:pt idx="3">
                  <c:v>256.25</c:v>
                </c:pt>
                <c:pt idx="4">
                  <c:v>229.47732318377388</c:v>
                </c:pt>
                <c:pt idx="5">
                  <c:v>206.36666691519162</c:v>
                </c:pt>
                <c:pt idx="6">
                  <c:v>187.62023679041775</c:v>
                </c:pt>
                <c:pt idx="7">
                  <c:v>173.8076336026422</c:v>
                </c:pt>
                <c:pt idx="8">
                  <c:v>165.34854631021099</c:v>
                </c:pt>
                <c:pt idx="9">
                  <c:v>162.5</c:v>
                </c:pt>
                <c:pt idx="10">
                  <c:v>165.34854631021099</c:v>
                </c:pt>
                <c:pt idx="11">
                  <c:v>173.80763360264217</c:v>
                </c:pt>
                <c:pt idx="12">
                  <c:v>187.62023679041775</c:v>
                </c:pt>
                <c:pt idx="13">
                  <c:v>206.36666691519162</c:v>
                </c:pt>
                <c:pt idx="14">
                  <c:v>229.47732318377388</c:v>
                </c:pt>
                <c:pt idx="15">
                  <c:v>256.25</c:v>
                </c:pt>
                <c:pt idx="16">
                  <c:v>285.87122312643709</c:v>
                </c:pt>
                <c:pt idx="17">
                  <c:v>317.44096668745055</c:v>
                </c:pt>
                <c:pt idx="18">
                  <c:v>350</c:v>
                </c:pt>
                <c:pt idx="19">
                  <c:v>382.55903331254945</c:v>
                </c:pt>
                <c:pt idx="20">
                  <c:v>414.12877687356291</c:v>
                </c:pt>
                <c:pt idx="21">
                  <c:v>443.75</c:v>
                </c:pt>
                <c:pt idx="22">
                  <c:v>470.52267681622612</c:v>
                </c:pt>
                <c:pt idx="23">
                  <c:v>493.63333308480838</c:v>
                </c:pt>
                <c:pt idx="24">
                  <c:v>512.37976320958228</c:v>
                </c:pt>
                <c:pt idx="25">
                  <c:v>526.19236639735777</c:v>
                </c:pt>
                <c:pt idx="26">
                  <c:v>534.65145368978904</c:v>
                </c:pt>
                <c:pt idx="27">
                  <c:v>537.5</c:v>
                </c:pt>
                <c:pt idx="28">
                  <c:v>534.65145368978904</c:v>
                </c:pt>
                <c:pt idx="29">
                  <c:v>526.19236639735777</c:v>
                </c:pt>
                <c:pt idx="30">
                  <c:v>512.37976320958228</c:v>
                </c:pt>
                <c:pt idx="31">
                  <c:v>493.63333308480838</c:v>
                </c:pt>
                <c:pt idx="32">
                  <c:v>470.52267681622612</c:v>
                </c:pt>
                <c:pt idx="33">
                  <c:v>443.75</c:v>
                </c:pt>
                <c:pt idx="34">
                  <c:v>414.12877687356291</c:v>
                </c:pt>
                <c:pt idx="35">
                  <c:v>382.55903331254945</c:v>
                </c:pt>
                <c:pt idx="36">
                  <c:v>350</c:v>
                </c:pt>
              </c:numCache>
            </c:numRef>
          </c:xVal>
          <c:yVal>
            <c:numRef>
              <c:f>[1]Graf!$C$81:$AM$81</c:f>
              <c:numCache>
                <c:formatCode>General</c:formatCode>
                <c:ptCount val="37"/>
                <c:pt idx="0">
                  <c:v>162.5</c:v>
                </c:pt>
                <c:pt idx="1">
                  <c:v>165.34854631021099</c:v>
                </c:pt>
                <c:pt idx="2">
                  <c:v>173.80763360264217</c:v>
                </c:pt>
                <c:pt idx="3">
                  <c:v>187.62023679041775</c:v>
                </c:pt>
                <c:pt idx="4">
                  <c:v>206.36666691519159</c:v>
                </c:pt>
                <c:pt idx="5">
                  <c:v>229.47732318377388</c:v>
                </c:pt>
                <c:pt idx="6">
                  <c:v>256.25</c:v>
                </c:pt>
                <c:pt idx="7">
                  <c:v>285.87122312643703</c:v>
                </c:pt>
                <c:pt idx="8">
                  <c:v>317.4409666874505</c:v>
                </c:pt>
                <c:pt idx="9">
                  <c:v>350</c:v>
                </c:pt>
                <c:pt idx="10">
                  <c:v>382.5590333125495</c:v>
                </c:pt>
                <c:pt idx="11">
                  <c:v>414.12877687356286</c:v>
                </c:pt>
                <c:pt idx="12">
                  <c:v>443.75</c:v>
                </c:pt>
                <c:pt idx="13">
                  <c:v>470.52267681622612</c:v>
                </c:pt>
                <c:pt idx="14">
                  <c:v>493.63333308480838</c:v>
                </c:pt>
                <c:pt idx="15">
                  <c:v>512.37976320958228</c:v>
                </c:pt>
                <c:pt idx="16">
                  <c:v>526.19236639735777</c:v>
                </c:pt>
                <c:pt idx="17">
                  <c:v>534.65145368978904</c:v>
                </c:pt>
                <c:pt idx="18">
                  <c:v>537.5</c:v>
                </c:pt>
                <c:pt idx="19">
                  <c:v>534.65145368978904</c:v>
                </c:pt>
                <c:pt idx="20">
                  <c:v>526.19236639735777</c:v>
                </c:pt>
                <c:pt idx="21">
                  <c:v>512.37976320958228</c:v>
                </c:pt>
                <c:pt idx="22">
                  <c:v>493.63333308480838</c:v>
                </c:pt>
                <c:pt idx="23">
                  <c:v>470.52267681622612</c:v>
                </c:pt>
                <c:pt idx="24">
                  <c:v>443.75</c:v>
                </c:pt>
                <c:pt idx="25">
                  <c:v>414.12877687356286</c:v>
                </c:pt>
                <c:pt idx="26">
                  <c:v>382.5590333125495</c:v>
                </c:pt>
                <c:pt idx="27">
                  <c:v>350</c:v>
                </c:pt>
                <c:pt idx="28">
                  <c:v>317.4409666874505</c:v>
                </c:pt>
                <c:pt idx="29">
                  <c:v>285.87122312643714</c:v>
                </c:pt>
                <c:pt idx="30">
                  <c:v>256.25</c:v>
                </c:pt>
                <c:pt idx="31">
                  <c:v>229.47732318377388</c:v>
                </c:pt>
                <c:pt idx="32">
                  <c:v>206.36666691519162</c:v>
                </c:pt>
                <c:pt idx="33">
                  <c:v>187.62023679041775</c:v>
                </c:pt>
                <c:pt idx="34">
                  <c:v>173.8076336026422</c:v>
                </c:pt>
                <c:pt idx="35">
                  <c:v>165.34854631021099</c:v>
                </c:pt>
                <c:pt idx="36">
                  <c:v>162.5</c:v>
                </c:pt>
              </c:numCache>
            </c:numRef>
          </c:yVal>
          <c:smooth val="1"/>
        </c:ser>
        <c:ser>
          <c:idx val="4"/>
          <c:order val="3"/>
          <c:tx>
            <c:v>Pile 2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[1]Graf!$C$80:$AM$80</c:f>
              <c:numCache>
                <c:formatCode>General</c:formatCode>
                <c:ptCount val="37"/>
                <c:pt idx="0">
                  <c:v>1650</c:v>
                </c:pt>
                <c:pt idx="1">
                  <c:v>1617.4409666874506</c:v>
                </c:pt>
                <c:pt idx="2">
                  <c:v>1585.8712231264371</c:v>
                </c:pt>
                <c:pt idx="3">
                  <c:v>1556.25</c:v>
                </c:pt>
                <c:pt idx="4">
                  <c:v>1529.4773231837739</c:v>
                </c:pt>
                <c:pt idx="5">
                  <c:v>1506.3666669151917</c:v>
                </c:pt>
                <c:pt idx="6">
                  <c:v>1487.6202367904177</c:v>
                </c:pt>
                <c:pt idx="7">
                  <c:v>1473.8076336026422</c:v>
                </c:pt>
                <c:pt idx="8">
                  <c:v>1465.3485463102111</c:v>
                </c:pt>
                <c:pt idx="9">
                  <c:v>1462.5</c:v>
                </c:pt>
                <c:pt idx="10">
                  <c:v>1465.3485463102111</c:v>
                </c:pt>
                <c:pt idx="11">
                  <c:v>1473.8076336026422</c:v>
                </c:pt>
                <c:pt idx="12">
                  <c:v>1487.6202367904177</c:v>
                </c:pt>
                <c:pt idx="13">
                  <c:v>1506.3666669151917</c:v>
                </c:pt>
                <c:pt idx="14">
                  <c:v>1529.4773231837739</c:v>
                </c:pt>
                <c:pt idx="15">
                  <c:v>1556.25</c:v>
                </c:pt>
                <c:pt idx="16">
                  <c:v>1585.8712231264371</c:v>
                </c:pt>
                <c:pt idx="17">
                  <c:v>1617.4409666874506</c:v>
                </c:pt>
                <c:pt idx="18">
                  <c:v>1650</c:v>
                </c:pt>
                <c:pt idx="19">
                  <c:v>1682.5590333125494</c:v>
                </c:pt>
                <c:pt idx="20">
                  <c:v>1714.1287768735629</c:v>
                </c:pt>
                <c:pt idx="21">
                  <c:v>1743.75</c:v>
                </c:pt>
                <c:pt idx="22">
                  <c:v>1770.5226768162261</c:v>
                </c:pt>
                <c:pt idx="23">
                  <c:v>1793.6333330848083</c:v>
                </c:pt>
                <c:pt idx="24">
                  <c:v>1812.3797632095823</c:v>
                </c:pt>
                <c:pt idx="25">
                  <c:v>1826.1923663973578</c:v>
                </c:pt>
                <c:pt idx="26">
                  <c:v>1834.6514536897889</c:v>
                </c:pt>
                <c:pt idx="27">
                  <c:v>1837.5</c:v>
                </c:pt>
                <c:pt idx="28">
                  <c:v>1834.6514536897889</c:v>
                </c:pt>
                <c:pt idx="29">
                  <c:v>1826.1923663973578</c:v>
                </c:pt>
                <c:pt idx="30">
                  <c:v>1812.3797632095823</c:v>
                </c:pt>
                <c:pt idx="31">
                  <c:v>1793.6333330848083</c:v>
                </c:pt>
                <c:pt idx="32">
                  <c:v>1770.5226768162261</c:v>
                </c:pt>
                <c:pt idx="33">
                  <c:v>1743.75</c:v>
                </c:pt>
                <c:pt idx="34">
                  <c:v>1714.1287768735629</c:v>
                </c:pt>
                <c:pt idx="35">
                  <c:v>1682.5590333125494</c:v>
                </c:pt>
                <c:pt idx="36">
                  <c:v>1650</c:v>
                </c:pt>
              </c:numCache>
            </c:numRef>
          </c:xVal>
          <c:yVal>
            <c:numRef>
              <c:f>[1]Graf!$C$81:$AM$81</c:f>
              <c:numCache>
                <c:formatCode>General</c:formatCode>
                <c:ptCount val="37"/>
                <c:pt idx="0">
                  <c:v>162.5</c:v>
                </c:pt>
                <c:pt idx="1">
                  <c:v>165.34854631021099</c:v>
                </c:pt>
                <c:pt idx="2">
                  <c:v>173.80763360264217</c:v>
                </c:pt>
                <c:pt idx="3">
                  <c:v>187.62023679041775</c:v>
                </c:pt>
                <c:pt idx="4">
                  <c:v>206.36666691519159</c:v>
                </c:pt>
                <c:pt idx="5">
                  <c:v>229.47732318377388</c:v>
                </c:pt>
                <c:pt idx="6">
                  <c:v>256.25</c:v>
                </c:pt>
                <c:pt idx="7">
                  <c:v>285.87122312643703</c:v>
                </c:pt>
                <c:pt idx="8">
                  <c:v>317.4409666874505</c:v>
                </c:pt>
                <c:pt idx="9">
                  <c:v>350</c:v>
                </c:pt>
                <c:pt idx="10">
                  <c:v>382.5590333125495</c:v>
                </c:pt>
                <c:pt idx="11">
                  <c:v>414.12877687356286</c:v>
                </c:pt>
                <c:pt idx="12">
                  <c:v>443.75</c:v>
                </c:pt>
                <c:pt idx="13">
                  <c:v>470.52267681622612</c:v>
                </c:pt>
                <c:pt idx="14">
                  <c:v>493.63333308480838</c:v>
                </c:pt>
                <c:pt idx="15">
                  <c:v>512.37976320958228</c:v>
                </c:pt>
                <c:pt idx="16">
                  <c:v>526.19236639735777</c:v>
                </c:pt>
                <c:pt idx="17">
                  <c:v>534.65145368978904</c:v>
                </c:pt>
                <c:pt idx="18">
                  <c:v>537.5</c:v>
                </c:pt>
                <c:pt idx="19">
                  <c:v>534.65145368978904</c:v>
                </c:pt>
                <c:pt idx="20">
                  <c:v>526.19236639735777</c:v>
                </c:pt>
                <c:pt idx="21">
                  <c:v>512.37976320958228</c:v>
                </c:pt>
                <c:pt idx="22">
                  <c:v>493.63333308480838</c:v>
                </c:pt>
                <c:pt idx="23">
                  <c:v>470.52267681622612</c:v>
                </c:pt>
                <c:pt idx="24">
                  <c:v>443.75</c:v>
                </c:pt>
                <c:pt idx="25">
                  <c:v>414.12877687356286</c:v>
                </c:pt>
                <c:pt idx="26">
                  <c:v>382.5590333125495</c:v>
                </c:pt>
                <c:pt idx="27">
                  <c:v>350</c:v>
                </c:pt>
                <c:pt idx="28">
                  <c:v>317.4409666874505</c:v>
                </c:pt>
                <c:pt idx="29">
                  <c:v>285.87122312643714</c:v>
                </c:pt>
                <c:pt idx="30">
                  <c:v>256.25</c:v>
                </c:pt>
                <c:pt idx="31">
                  <c:v>229.47732318377388</c:v>
                </c:pt>
                <c:pt idx="32">
                  <c:v>206.36666691519162</c:v>
                </c:pt>
                <c:pt idx="33">
                  <c:v>187.62023679041775</c:v>
                </c:pt>
                <c:pt idx="34">
                  <c:v>173.8076336026422</c:v>
                </c:pt>
                <c:pt idx="35">
                  <c:v>165.34854631021099</c:v>
                </c:pt>
                <c:pt idx="36">
                  <c:v>162.5</c:v>
                </c:pt>
              </c:numCache>
            </c:numRef>
          </c:yVal>
          <c:smooth val="1"/>
        </c:ser>
        <c:ser>
          <c:idx val="5"/>
          <c:order val="4"/>
          <c:tx>
            <c:v>Fill</c:v>
          </c:tx>
          <c:spPr>
            <a:ln w="381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[1]Graf!$I$74:$AH$74</c:f>
              <c:numCache>
                <c:formatCode>General</c:formatCode>
                <c:ptCount val="26"/>
                <c:pt idx="0">
                  <c:v>880</c:v>
                </c:pt>
                <c:pt idx="1">
                  <c:v>880</c:v>
                </c:pt>
                <c:pt idx="3">
                  <c:v>910</c:v>
                </c:pt>
                <c:pt idx="4">
                  <c:v>910</c:v>
                </c:pt>
                <c:pt idx="6">
                  <c:v>940</c:v>
                </c:pt>
                <c:pt idx="7">
                  <c:v>940</c:v>
                </c:pt>
                <c:pt idx="9">
                  <c:v>970</c:v>
                </c:pt>
                <c:pt idx="10">
                  <c:v>970</c:v>
                </c:pt>
                <c:pt idx="12">
                  <c:v>1000</c:v>
                </c:pt>
                <c:pt idx="13">
                  <c:v>1000</c:v>
                </c:pt>
                <c:pt idx="15">
                  <c:v>1030</c:v>
                </c:pt>
                <c:pt idx="16">
                  <c:v>1030</c:v>
                </c:pt>
                <c:pt idx="18">
                  <c:v>1060</c:v>
                </c:pt>
                <c:pt idx="19">
                  <c:v>1060</c:v>
                </c:pt>
                <c:pt idx="21">
                  <c:v>1090</c:v>
                </c:pt>
                <c:pt idx="22">
                  <c:v>1090</c:v>
                </c:pt>
                <c:pt idx="24">
                  <c:v>1120</c:v>
                </c:pt>
                <c:pt idx="25">
                  <c:v>1120</c:v>
                </c:pt>
              </c:numCache>
            </c:numRef>
          </c:xVal>
          <c:yVal>
            <c:numRef>
              <c:f>[1]Graf!$I$75:$AH$75</c:f>
              <c:numCache>
                <c:formatCode>General</c:formatCode>
                <c:ptCount val="26"/>
                <c:pt idx="0">
                  <c:v>800</c:v>
                </c:pt>
                <c:pt idx="1">
                  <c:v>1200</c:v>
                </c:pt>
                <c:pt idx="3">
                  <c:v>800</c:v>
                </c:pt>
                <c:pt idx="4">
                  <c:v>1200</c:v>
                </c:pt>
                <c:pt idx="6">
                  <c:v>800</c:v>
                </c:pt>
                <c:pt idx="7">
                  <c:v>1200</c:v>
                </c:pt>
                <c:pt idx="9">
                  <c:v>800</c:v>
                </c:pt>
                <c:pt idx="10">
                  <c:v>1200</c:v>
                </c:pt>
                <c:pt idx="12">
                  <c:v>800</c:v>
                </c:pt>
                <c:pt idx="13">
                  <c:v>1200</c:v>
                </c:pt>
                <c:pt idx="15">
                  <c:v>800</c:v>
                </c:pt>
                <c:pt idx="16">
                  <c:v>1200</c:v>
                </c:pt>
                <c:pt idx="18">
                  <c:v>800</c:v>
                </c:pt>
                <c:pt idx="19">
                  <c:v>1200</c:v>
                </c:pt>
                <c:pt idx="21">
                  <c:v>800</c:v>
                </c:pt>
                <c:pt idx="22">
                  <c:v>1200</c:v>
                </c:pt>
                <c:pt idx="24">
                  <c:v>800</c:v>
                </c:pt>
                <c:pt idx="25">
                  <c:v>1200</c:v>
                </c:pt>
              </c:numCache>
            </c:numRef>
          </c:yVal>
          <c:smooth val="0"/>
        </c:ser>
        <c:ser>
          <c:idx val="1"/>
          <c:order val="5"/>
          <c:tx>
            <c:v>Column</c:v>
          </c:tx>
          <c:spPr>
            <a:ln w="381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[1]Graf!$C$74:$G$74</c:f>
              <c:numCache>
                <c:formatCode>General</c:formatCode>
                <c:ptCount val="5"/>
                <c:pt idx="0">
                  <c:v>850</c:v>
                </c:pt>
                <c:pt idx="1">
                  <c:v>850</c:v>
                </c:pt>
                <c:pt idx="2">
                  <c:v>1150</c:v>
                </c:pt>
                <c:pt idx="3">
                  <c:v>1150</c:v>
                </c:pt>
                <c:pt idx="4">
                  <c:v>850</c:v>
                </c:pt>
              </c:numCache>
            </c:numRef>
          </c:xVal>
          <c:yVal>
            <c:numRef>
              <c:f>[1]Graf!$C$75:$G$75</c:f>
              <c:numCache>
                <c:formatCode>General</c:formatCode>
                <c:ptCount val="5"/>
                <c:pt idx="0">
                  <c:v>800</c:v>
                </c:pt>
                <c:pt idx="1">
                  <c:v>1200</c:v>
                </c:pt>
                <c:pt idx="2">
                  <c:v>1200</c:v>
                </c:pt>
                <c:pt idx="3">
                  <c:v>800</c:v>
                </c:pt>
                <c:pt idx="4">
                  <c:v>800</c:v>
                </c:pt>
              </c:numCache>
            </c:numRef>
          </c:yVal>
          <c:smooth val="0"/>
        </c:ser>
        <c:ser>
          <c:idx val="6"/>
          <c:order val="6"/>
          <c:tx>
            <c:v>Pile 3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[1]Graf!$C$79:$AM$79</c:f>
              <c:numCache>
                <c:formatCode>General</c:formatCode>
                <c:ptCount val="37"/>
                <c:pt idx="0">
                  <c:v>350</c:v>
                </c:pt>
                <c:pt idx="1">
                  <c:v>317.44096668745055</c:v>
                </c:pt>
                <c:pt idx="2">
                  <c:v>285.87122312643714</c:v>
                </c:pt>
                <c:pt idx="3">
                  <c:v>256.25</c:v>
                </c:pt>
                <c:pt idx="4">
                  <c:v>229.47732318377388</c:v>
                </c:pt>
                <c:pt idx="5">
                  <c:v>206.36666691519162</c:v>
                </c:pt>
                <c:pt idx="6">
                  <c:v>187.62023679041775</c:v>
                </c:pt>
                <c:pt idx="7">
                  <c:v>173.8076336026422</c:v>
                </c:pt>
                <c:pt idx="8">
                  <c:v>165.34854631021099</c:v>
                </c:pt>
                <c:pt idx="9">
                  <c:v>162.5</c:v>
                </c:pt>
                <c:pt idx="10">
                  <c:v>165.34854631021099</c:v>
                </c:pt>
                <c:pt idx="11">
                  <c:v>173.80763360264217</c:v>
                </c:pt>
                <c:pt idx="12">
                  <c:v>187.62023679041775</c:v>
                </c:pt>
                <c:pt idx="13">
                  <c:v>206.36666691519162</c:v>
                </c:pt>
                <c:pt idx="14">
                  <c:v>229.47732318377388</c:v>
                </c:pt>
                <c:pt idx="15">
                  <c:v>256.25</c:v>
                </c:pt>
                <c:pt idx="16">
                  <c:v>285.87122312643709</c:v>
                </c:pt>
                <c:pt idx="17">
                  <c:v>317.44096668745055</c:v>
                </c:pt>
                <c:pt idx="18">
                  <c:v>350</c:v>
                </c:pt>
                <c:pt idx="19">
                  <c:v>382.55903331254945</c:v>
                </c:pt>
                <c:pt idx="20">
                  <c:v>414.12877687356291</c:v>
                </c:pt>
                <c:pt idx="21">
                  <c:v>443.75</c:v>
                </c:pt>
                <c:pt idx="22">
                  <c:v>470.52267681622612</c:v>
                </c:pt>
                <c:pt idx="23">
                  <c:v>493.63333308480838</c:v>
                </c:pt>
                <c:pt idx="24">
                  <c:v>512.37976320958228</c:v>
                </c:pt>
                <c:pt idx="25">
                  <c:v>526.19236639735777</c:v>
                </c:pt>
                <c:pt idx="26">
                  <c:v>534.65145368978904</c:v>
                </c:pt>
                <c:pt idx="27">
                  <c:v>537.5</c:v>
                </c:pt>
                <c:pt idx="28">
                  <c:v>534.65145368978904</c:v>
                </c:pt>
                <c:pt idx="29">
                  <c:v>526.19236639735777</c:v>
                </c:pt>
                <c:pt idx="30">
                  <c:v>512.37976320958228</c:v>
                </c:pt>
                <c:pt idx="31">
                  <c:v>493.63333308480838</c:v>
                </c:pt>
                <c:pt idx="32">
                  <c:v>470.52267681622612</c:v>
                </c:pt>
                <c:pt idx="33">
                  <c:v>443.75</c:v>
                </c:pt>
                <c:pt idx="34">
                  <c:v>414.12877687356291</c:v>
                </c:pt>
                <c:pt idx="35">
                  <c:v>382.55903331254945</c:v>
                </c:pt>
                <c:pt idx="36">
                  <c:v>350</c:v>
                </c:pt>
              </c:numCache>
            </c:numRef>
          </c:xVal>
          <c:yVal>
            <c:numRef>
              <c:f>[1]Graf!$C$82:$AM$82</c:f>
              <c:numCache>
                <c:formatCode>General</c:formatCode>
                <c:ptCount val="37"/>
                <c:pt idx="0">
                  <c:v>1462.5</c:v>
                </c:pt>
                <c:pt idx="1">
                  <c:v>1465.3485463102111</c:v>
                </c:pt>
                <c:pt idx="2">
                  <c:v>1473.8076336026422</c:v>
                </c:pt>
                <c:pt idx="3">
                  <c:v>1487.6202367904177</c:v>
                </c:pt>
                <c:pt idx="4">
                  <c:v>1506.3666669151917</c:v>
                </c:pt>
                <c:pt idx="5">
                  <c:v>1529.4773231837739</c:v>
                </c:pt>
                <c:pt idx="6">
                  <c:v>1556.25</c:v>
                </c:pt>
                <c:pt idx="7">
                  <c:v>1585.8712231264371</c:v>
                </c:pt>
                <c:pt idx="8">
                  <c:v>1617.4409666874506</c:v>
                </c:pt>
                <c:pt idx="9">
                  <c:v>1650</c:v>
                </c:pt>
                <c:pt idx="10">
                  <c:v>1682.5590333125494</c:v>
                </c:pt>
                <c:pt idx="11">
                  <c:v>1714.1287768735629</c:v>
                </c:pt>
                <c:pt idx="12">
                  <c:v>1743.75</c:v>
                </c:pt>
                <c:pt idx="13">
                  <c:v>1770.5226768162261</c:v>
                </c:pt>
                <c:pt idx="14">
                  <c:v>1793.6333330848083</c:v>
                </c:pt>
                <c:pt idx="15">
                  <c:v>1812.3797632095823</c:v>
                </c:pt>
                <c:pt idx="16">
                  <c:v>1826.1923663973578</c:v>
                </c:pt>
                <c:pt idx="17">
                  <c:v>1834.6514536897889</c:v>
                </c:pt>
                <c:pt idx="18">
                  <c:v>1837.5</c:v>
                </c:pt>
                <c:pt idx="19">
                  <c:v>1834.6514536897889</c:v>
                </c:pt>
                <c:pt idx="20">
                  <c:v>1826.1923663973578</c:v>
                </c:pt>
                <c:pt idx="21">
                  <c:v>1812.3797632095823</c:v>
                </c:pt>
                <c:pt idx="22">
                  <c:v>1793.6333330848083</c:v>
                </c:pt>
                <c:pt idx="23">
                  <c:v>1770.5226768162261</c:v>
                </c:pt>
                <c:pt idx="24">
                  <c:v>1743.75</c:v>
                </c:pt>
                <c:pt idx="25">
                  <c:v>1714.1287768735629</c:v>
                </c:pt>
                <c:pt idx="26">
                  <c:v>1682.5590333125494</c:v>
                </c:pt>
                <c:pt idx="27">
                  <c:v>1650</c:v>
                </c:pt>
                <c:pt idx="28">
                  <c:v>1617.4409666874506</c:v>
                </c:pt>
                <c:pt idx="29">
                  <c:v>1585.8712231264371</c:v>
                </c:pt>
                <c:pt idx="30">
                  <c:v>1556.25</c:v>
                </c:pt>
                <c:pt idx="31">
                  <c:v>1529.4773231837739</c:v>
                </c:pt>
                <c:pt idx="32">
                  <c:v>1506.3666669151917</c:v>
                </c:pt>
                <c:pt idx="33">
                  <c:v>1487.6202367904177</c:v>
                </c:pt>
                <c:pt idx="34">
                  <c:v>1473.8076336026422</c:v>
                </c:pt>
                <c:pt idx="35">
                  <c:v>1465.3485463102111</c:v>
                </c:pt>
                <c:pt idx="36">
                  <c:v>1462.5</c:v>
                </c:pt>
              </c:numCache>
            </c:numRef>
          </c:yVal>
          <c:smooth val="0"/>
        </c:ser>
        <c:ser>
          <c:idx val="7"/>
          <c:order val="7"/>
          <c:tx>
            <c:v>Pile 4</c:v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[1]Graf!$C$80:$AM$80</c:f>
              <c:numCache>
                <c:formatCode>General</c:formatCode>
                <c:ptCount val="37"/>
                <c:pt idx="0">
                  <c:v>1650</c:v>
                </c:pt>
                <c:pt idx="1">
                  <c:v>1617.4409666874506</c:v>
                </c:pt>
                <c:pt idx="2">
                  <c:v>1585.8712231264371</c:v>
                </c:pt>
                <c:pt idx="3">
                  <c:v>1556.25</c:v>
                </c:pt>
                <c:pt idx="4">
                  <c:v>1529.4773231837739</c:v>
                </c:pt>
                <c:pt idx="5">
                  <c:v>1506.3666669151917</c:v>
                </c:pt>
                <c:pt idx="6">
                  <c:v>1487.6202367904177</c:v>
                </c:pt>
                <c:pt idx="7">
                  <c:v>1473.8076336026422</c:v>
                </c:pt>
                <c:pt idx="8">
                  <c:v>1465.3485463102111</c:v>
                </c:pt>
                <c:pt idx="9">
                  <c:v>1462.5</c:v>
                </c:pt>
                <c:pt idx="10">
                  <c:v>1465.3485463102111</c:v>
                </c:pt>
                <c:pt idx="11">
                  <c:v>1473.8076336026422</c:v>
                </c:pt>
                <c:pt idx="12">
                  <c:v>1487.6202367904177</c:v>
                </c:pt>
                <c:pt idx="13">
                  <c:v>1506.3666669151917</c:v>
                </c:pt>
                <c:pt idx="14">
                  <c:v>1529.4773231837739</c:v>
                </c:pt>
                <c:pt idx="15">
                  <c:v>1556.25</c:v>
                </c:pt>
                <c:pt idx="16">
                  <c:v>1585.8712231264371</c:v>
                </c:pt>
                <c:pt idx="17">
                  <c:v>1617.4409666874506</c:v>
                </c:pt>
                <c:pt idx="18">
                  <c:v>1650</c:v>
                </c:pt>
                <c:pt idx="19">
                  <c:v>1682.5590333125494</c:v>
                </c:pt>
                <c:pt idx="20">
                  <c:v>1714.1287768735629</c:v>
                </c:pt>
                <c:pt idx="21">
                  <c:v>1743.75</c:v>
                </c:pt>
                <c:pt idx="22">
                  <c:v>1770.5226768162261</c:v>
                </c:pt>
                <c:pt idx="23">
                  <c:v>1793.6333330848083</c:v>
                </c:pt>
                <c:pt idx="24">
                  <c:v>1812.3797632095823</c:v>
                </c:pt>
                <c:pt idx="25">
                  <c:v>1826.1923663973578</c:v>
                </c:pt>
                <c:pt idx="26">
                  <c:v>1834.6514536897889</c:v>
                </c:pt>
                <c:pt idx="27">
                  <c:v>1837.5</c:v>
                </c:pt>
                <c:pt idx="28">
                  <c:v>1834.6514536897889</c:v>
                </c:pt>
                <c:pt idx="29">
                  <c:v>1826.1923663973578</c:v>
                </c:pt>
                <c:pt idx="30">
                  <c:v>1812.3797632095823</c:v>
                </c:pt>
                <c:pt idx="31">
                  <c:v>1793.6333330848083</c:v>
                </c:pt>
                <c:pt idx="32">
                  <c:v>1770.5226768162261</c:v>
                </c:pt>
                <c:pt idx="33">
                  <c:v>1743.75</c:v>
                </c:pt>
                <c:pt idx="34">
                  <c:v>1714.1287768735629</c:v>
                </c:pt>
                <c:pt idx="35">
                  <c:v>1682.5590333125494</c:v>
                </c:pt>
                <c:pt idx="36">
                  <c:v>1650</c:v>
                </c:pt>
              </c:numCache>
            </c:numRef>
          </c:xVal>
          <c:yVal>
            <c:numRef>
              <c:f>[1]Graf!$C$82:$AM$82</c:f>
              <c:numCache>
                <c:formatCode>General</c:formatCode>
                <c:ptCount val="37"/>
                <c:pt idx="0">
                  <c:v>1462.5</c:v>
                </c:pt>
                <c:pt idx="1">
                  <c:v>1465.3485463102111</c:v>
                </c:pt>
                <c:pt idx="2">
                  <c:v>1473.8076336026422</c:v>
                </c:pt>
                <c:pt idx="3">
                  <c:v>1487.6202367904177</c:v>
                </c:pt>
                <c:pt idx="4">
                  <c:v>1506.3666669151917</c:v>
                </c:pt>
                <c:pt idx="5">
                  <c:v>1529.4773231837739</c:v>
                </c:pt>
                <c:pt idx="6">
                  <c:v>1556.25</c:v>
                </c:pt>
                <c:pt idx="7">
                  <c:v>1585.8712231264371</c:v>
                </c:pt>
                <c:pt idx="8">
                  <c:v>1617.4409666874506</c:v>
                </c:pt>
                <c:pt idx="9">
                  <c:v>1650</c:v>
                </c:pt>
                <c:pt idx="10">
                  <c:v>1682.5590333125494</c:v>
                </c:pt>
                <c:pt idx="11">
                  <c:v>1714.1287768735629</c:v>
                </c:pt>
                <c:pt idx="12">
                  <c:v>1743.75</c:v>
                </c:pt>
                <c:pt idx="13">
                  <c:v>1770.5226768162261</c:v>
                </c:pt>
                <c:pt idx="14">
                  <c:v>1793.6333330848083</c:v>
                </c:pt>
                <c:pt idx="15">
                  <c:v>1812.3797632095823</c:v>
                </c:pt>
                <c:pt idx="16">
                  <c:v>1826.1923663973578</c:v>
                </c:pt>
                <c:pt idx="17">
                  <c:v>1834.6514536897889</c:v>
                </c:pt>
                <c:pt idx="18">
                  <c:v>1837.5</c:v>
                </c:pt>
                <c:pt idx="19">
                  <c:v>1834.6514536897889</c:v>
                </c:pt>
                <c:pt idx="20">
                  <c:v>1826.1923663973578</c:v>
                </c:pt>
                <c:pt idx="21">
                  <c:v>1812.3797632095823</c:v>
                </c:pt>
                <c:pt idx="22">
                  <c:v>1793.6333330848083</c:v>
                </c:pt>
                <c:pt idx="23">
                  <c:v>1770.5226768162261</c:v>
                </c:pt>
                <c:pt idx="24">
                  <c:v>1743.75</c:v>
                </c:pt>
                <c:pt idx="25">
                  <c:v>1714.1287768735629</c:v>
                </c:pt>
                <c:pt idx="26">
                  <c:v>1682.5590333125494</c:v>
                </c:pt>
                <c:pt idx="27">
                  <c:v>1650</c:v>
                </c:pt>
                <c:pt idx="28">
                  <c:v>1617.4409666874506</c:v>
                </c:pt>
                <c:pt idx="29">
                  <c:v>1585.8712231264371</c:v>
                </c:pt>
                <c:pt idx="30">
                  <c:v>1556.25</c:v>
                </c:pt>
                <c:pt idx="31">
                  <c:v>1529.4773231837739</c:v>
                </c:pt>
                <c:pt idx="32">
                  <c:v>1506.3666669151917</c:v>
                </c:pt>
                <c:pt idx="33">
                  <c:v>1487.6202367904177</c:v>
                </c:pt>
                <c:pt idx="34">
                  <c:v>1473.8076336026422</c:v>
                </c:pt>
                <c:pt idx="35">
                  <c:v>1465.3485463102111</c:v>
                </c:pt>
                <c:pt idx="36">
                  <c:v>1462.5</c:v>
                </c:pt>
              </c:numCache>
            </c:numRef>
          </c:yVal>
          <c:smooth val="0"/>
        </c:ser>
        <c:ser>
          <c:idx val="8"/>
          <c:order val="8"/>
          <c:tx>
            <c:v>Centre</c:v>
          </c:tx>
          <c:spPr>
            <a:ln w="3175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Ref>
              <c:f>[1]Graf!$K$72:$O$72</c:f>
              <c:numCache>
                <c:formatCode>General</c:formatCode>
                <c:ptCount val="5"/>
                <c:pt idx="0">
                  <c:v>-50</c:v>
                </c:pt>
                <c:pt idx="1">
                  <c:v>2050</c:v>
                </c:pt>
                <c:pt idx="3">
                  <c:v>1000</c:v>
                </c:pt>
                <c:pt idx="4">
                  <c:v>1000</c:v>
                </c:pt>
              </c:numCache>
            </c:numRef>
          </c:xVal>
          <c:yVal>
            <c:numRef>
              <c:f>[1]Graf!$K$73:$O$73</c:f>
              <c:numCache>
                <c:formatCode>General</c:formatCode>
                <c:ptCount val="5"/>
                <c:pt idx="0">
                  <c:v>1000</c:v>
                </c:pt>
                <c:pt idx="1">
                  <c:v>1000</c:v>
                </c:pt>
                <c:pt idx="3">
                  <c:v>-50</c:v>
                </c:pt>
                <c:pt idx="4">
                  <c:v>2050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0709760"/>
        <c:axId val="-1850703232"/>
      </c:scatterChart>
      <c:valAx>
        <c:axId val="-1850709760"/>
        <c:scaling>
          <c:orientation val="minMax"/>
          <c:min val="-40"/>
        </c:scaling>
        <c:delete val="1"/>
        <c:axPos val="b"/>
        <c:numFmt formatCode="General" sourceLinked="1"/>
        <c:majorTickMark val="out"/>
        <c:minorTickMark val="none"/>
        <c:tickLblPos val="nextTo"/>
        <c:crossAx val="-1850703232"/>
        <c:crosses val="autoZero"/>
        <c:crossBetween val="midCat"/>
        <c:majorUnit val="100"/>
      </c:valAx>
      <c:valAx>
        <c:axId val="-1850703232"/>
        <c:scaling>
          <c:orientation val="minMax"/>
          <c:min val="-40"/>
        </c:scaling>
        <c:delete val="1"/>
        <c:axPos val="l"/>
        <c:numFmt formatCode="General" sourceLinked="1"/>
        <c:majorTickMark val="out"/>
        <c:minorTickMark val="none"/>
        <c:tickLblPos val="nextTo"/>
        <c:crossAx val="-1850709760"/>
        <c:crosses val="autoZero"/>
        <c:crossBetween val="midCat"/>
        <c:majorUnit val="10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Technical"/>
          <a:ea typeface="Technical"/>
          <a:cs typeface="Technic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048235416533853E-2"/>
          <c:y val="3.2680764146903865E-2"/>
          <c:w val="0.97146000624322659"/>
          <c:h val="0.94774216026021207"/>
        </c:manualLayout>
      </c:layout>
      <c:scatterChart>
        <c:scatterStyle val="lineMarker"/>
        <c:varyColors val="0"/>
        <c:ser>
          <c:idx val="0"/>
          <c:order val="0"/>
          <c:tx>
            <c:v>Cap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[1]Graf!$C$84:$G$84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0</c:v>
                </c:pt>
              </c:numCache>
            </c:numRef>
          </c:xVal>
          <c:yVal>
            <c:numRef>
              <c:f>[1]Graf!$C$85:$G$85</c:f>
              <c:numCache>
                <c:formatCode>General</c:formatCode>
                <c:ptCount val="5"/>
                <c:pt idx="0">
                  <c:v>270</c:v>
                </c:pt>
                <c:pt idx="1">
                  <c:v>720</c:v>
                </c:pt>
                <c:pt idx="2">
                  <c:v>720</c:v>
                </c:pt>
                <c:pt idx="3">
                  <c:v>270</c:v>
                </c:pt>
                <c:pt idx="4">
                  <c:v>270</c:v>
                </c:pt>
              </c:numCache>
            </c:numRef>
          </c:yVal>
          <c:smooth val="0"/>
        </c:ser>
        <c:ser>
          <c:idx val="3"/>
          <c:order val="1"/>
          <c:tx>
            <c:v>Btm bar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[1]Graf!$G$90:$J$90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1950</c:v>
                </c:pt>
                <c:pt idx="3">
                  <c:v>1950</c:v>
                </c:pt>
              </c:numCache>
            </c:numRef>
          </c:xVal>
          <c:yVal>
            <c:numRef>
              <c:f>[1]Graf!$G$91:$J$91</c:f>
              <c:numCache>
                <c:formatCode>General</c:formatCode>
                <c:ptCount val="4"/>
                <c:pt idx="0">
                  <c:v>470</c:v>
                </c:pt>
                <c:pt idx="1">
                  <c:v>345</c:v>
                </c:pt>
                <c:pt idx="2">
                  <c:v>345</c:v>
                </c:pt>
                <c:pt idx="3">
                  <c:v>470</c:v>
                </c:pt>
              </c:numCache>
            </c:numRef>
          </c:yVal>
          <c:smooth val="0"/>
        </c:ser>
        <c:ser>
          <c:idx val="4"/>
          <c:order val="2"/>
          <c:tx>
            <c:v>Top bar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[1]Graf!$C$90:$D$90</c:f>
              <c:numCache>
                <c:formatCode>General</c:formatCode>
                <c:ptCount val="2"/>
                <c:pt idx="0">
                  <c:v>50</c:v>
                </c:pt>
                <c:pt idx="1">
                  <c:v>1950</c:v>
                </c:pt>
              </c:numCache>
            </c:numRef>
          </c:xVal>
          <c:yVal>
            <c:numRef>
              <c:f>[1]Graf!$C$91:$D$91</c:f>
              <c:numCache>
                <c:formatCode>General</c:formatCode>
                <c:ptCount val="2"/>
                <c:pt idx="0">
                  <c:v>670</c:v>
                </c:pt>
                <c:pt idx="1">
                  <c:v>670</c:v>
                </c:pt>
              </c:numCache>
            </c:numRef>
          </c:yVal>
          <c:smooth val="0"/>
        </c:ser>
        <c:ser>
          <c:idx val="1"/>
          <c:order val="3"/>
          <c:tx>
            <c:v>Piles</c:v>
          </c:tx>
          <c:spPr>
            <a:ln w="127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[1]Graf!$C$86:$M$86</c:f>
              <c:numCache>
                <c:formatCode>General</c:formatCode>
                <c:ptCount val="11"/>
                <c:pt idx="0">
                  <c:v>162.5</c:v>
                </c:pt>
                <c:pt idx="1">
                  <c:v>162.5</c:v>
                </c:pt>
                <c:pt idx="3">
                  <c:v>537.5</c:v>
                </c:pt>
                <c:pt idx="4">
                  <c:v>537.5</c:v>
                </c:pt>
                <c:pt idx="6">
                  <c:v>1462.5</c:v>
                </c:pt>
                <c:pt idx="7">
                  <c:v>1462.5</c:v>
                </c:pt>
                <c:pt idx="9">
                  <c:v>1837.5</c:v>
                </c:pt>
                <c:pt idx="10">
                  <c:v>1837.5</c:v>
                </c:pt>
              </c:numCache>
            </c:numRef>
          </c:xVal>
          <c:yVal>
            <c:numRef>
              <c:f>[1]Graf!$C$87:$M$87</c:f>
              <c:numCache>
                <c:formatCode>General</c:formatCode>
                <c:ptCount val="11"/>
                <c:pt idx="0">
                  <c:v>0</c:v>
                </c:pt>
                <c:pt idx="1">
                  <c:v>270</c:v>
                </c:pt>
                <c:pt idx="3">
                  <c:v>0</c:v>
                </c:pt>
                <c:pt idx="4">
                  <c:v>270</c:v>
                </c:pt>
                <c:pt idx="6">
                  <c:v>0</c:v>
                </c:pt>
                <c:pt idx="7">
                  <c:v>270</c:v>
                </c:pt>
                <c:pt idx="9">
                  <c:v>0</c:v>
                </c:pt>
                <c:pt idx="10">
                  <c:v>270</c:v>
                </c:pt>
              </c:numCache>
            </c:numRef>
          </c:yVal>
          <c:smooth val="0"/>
        </c:ser>
        <c:ser>
          <c:idx val="2"/>
          <c:order val="4"/>
          <c:tx>
            <c:v>Column</c:v>
          </c:tx>
          <c:spPr>
            <a:ln w="127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[1]Graf!$O$86:$S$86</c:f>
              <c:numCache>
                <c:formatCode>General</c:formatCode>
                <c:ptCount val="5"/>
                <c:pt idx="0">
                  <c:v>850</c:v>
                </c:pt>
                <c:pt idx="1">
                  <c:v>850</c:v>
                </c:pt>
                <c:pt idx="3">
                  <c:v>1150</c:v>
                </c:pt>
                <c:pt idx="4">
                  <c:v>1150</c:v>
                </c:pt>
              </c:numCache>
            </c:numRef>
          </c:xVal>
          <c:yVal>
            <c:numRef>
              <c:f>[1]Graf!$O$87:$S$87</c:f>
              <c:numCache>
                <c:formatCode>General</c:formatCode>
                <c:ptCount val="5"/>
                <c:pt idx="0">
                  <c:v>720</c:v>
                </c:pt>
                <c:pt idx="1">
                  <c:v>1057.5</c:v>
                </c:pt>
                <c:pt idx="3">
                  <c:v>720</c:v>
                </c:pt>
                <c:pt idx="4">
                  <c:v>1057.5</c:v>
                </c:pt>
              </c:numCache>
            </c:numRef>
          </c:yVal>
          <c:smooth val="0"/>
        </c:ser>
        <c:ser>
          <c:idx val="6"/>
          <c:order val="5"/>
          <c:tx>
            <c:v> Links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[1]Graf!$C$92:$BI$92</c:f>
              <c:numCache>
                <c:formatCode>General</c:formatCode>
                <c:ptCount val="59"/>
                <c:pt idx="0">
                  <c:v>100</c:v>
                </c:pt>
                <c:pt idx="1">
                  <c:v>100</c:v>
                </c:pt>
                <c:pt idx="3">
                  <c:v>357.14285714285717</c:v>
                </c:pt>
                <c:pt idx="4">
                  <c:v>357.14285714285717</c:v>
                </c:pt>
                <c:pt idx="6">
                  <c:v>614.28571428571433</c:v>
                </c:pt>
                <c:pt idx="7">
                  <c:v>614.28571428571433</c:v>
                </c:pt>
                <c:pt idx="9">
                  <c:v>871.42857142857156</c:v>
                </c:pt>
                <c:pt idx="10">
                  <c:v>871.42857142857156</c:v>
                </c:pt>
                <c:pt idx="12">
                  <c:v>1128.5714285714287</c:v>
                </c:pt>
                <c:pt idx="13">
                  <c:v>1128.5714285714287</c:v>
                </c:pt>
                <c:pt idx="15">
                  <c:v>1385.7142857142858</c:v>
                </c:pt>
                <c:pt idx="16">
                  <c:v>1385.7142857142858</c:v>
                </c:pt>
                <c:pt idx="18">
                  <c:v>1642.8571428571429</c:v>
                </c:pt>
                <c:pt idx="19">
                  <c:v>1642.8571428571429</c:v>
                </c:pt>
                <c:pt idx="21">
                  <c:v>1900</c:v>
                </c:pt>
                <c:pt idx="22">
                  <c:v>1900</c:v>
                </c:pt>
                <c:pt idx="24">
                  <c:v>1900</c:v>
                </c:pt>
                <c:pt idx="25">
                  <c:v>1900</c:v>
                </c:pt>
                <c:pt idx="27">
                  <c:v>1900</c:v>
                </c:pt>
                <c:pt idx="28">
                  <c:v>1900</c:v>
                </c:pt>
                <c:pt idx="30">
                  <c:v>1900</c:v>
                </c:pt>
                <c:pt idx="31">
                  <c:v>1900</c:v>
                </c:pt>
                <c:pt idx="33">
                  <c:v>1900</c:v>
                </c:pt>
                <c:pt idx="34">
                  <c:v>1900</c:v>
                </c:pt>
                <c:pt idx="36">
                  <c:v>1900</c:v>
                </c:pt>
                <c:pt idx="37">
                  <c:v>1900</c:v>
                </c:pt>
                <c:pt idx="39">
                  <c:v>1900</c:v>
                </c:pt>
                <c:pt idx="40">
                  <c:v>1900</c:v>
                </c:pt>
                <c:pt idx="42">
                  <c:v>1900</c:v>
                </c:pt>
                <c:pt idx="43">
                  <c:v>1900</c:v>
                </c:pt>
                <c:pt idx="45">
                  <c:v>1900</c:v>
                </c:pt>
                <c:pt idx="46">
                  <c:v>1900</c:v>
                </c:pt>
                <c:pt idx="48">
                  <c:v>1900</c:v>
                </c:pt>
                <c:pt idx="49">
                  <c:v>1900</c:v>
                </c:pt>
                <c:pt idx="51">
                  <c:v>1900</c:v>
                </c:pt>
                <c:pt idx="52">
                  <c:v>1900</c:v>
                </c:pt>
                <c:pt idx="54">
                  <c:v>1900</c:v>
                </c:pt>
                <c:pt idx="55">
                  <c:v>1900</c:v>
                </c:pt>
                <c:pt idx="57">
                  <c:v>1900</c:v>
                </c:pt>
                <c:pt idx="58">
                  <c:v>1900</c:v>
                </c:pt>
              </c:numCache>
            </c:numRef>
          </c:xVal>
          <c:yVal>
            <c:numRef>
              <c:f>[1]Graf!$C$93:$BI$93</c:f>
              <c:numCache>
                <c:formatCode>General</c:formatCode>
                <c:ptCount val="59"/>
                <c:pt idx="0">
                  <c:v>357.5</c:v>
                </c:pt>
                <c:pt idx="1">
                  <c:v>657.5</c:v>
                </c:pt>
                <c:pt idx="3">
                  <c:v>357.5</c:v>
                </c:pt>
                <c:pt idx="4">
                  <c:v>657.5</c:v>
                </c:pt>
                <c:pt idx="6">
                  <c:v>357.5</c:v>
                </c:pt>
                <c:pt idx="7">
                  <c:v>657.5</c:v>
                </c:pt>
                <c:pt idx="9">
                  <c:v>357.5</c:v>
                </c:pt>
                <c:pt idx="10">
                  <c:v>657.5</c:v>
                </c:pt>
                <c:pt idx="12">
                  <c:v>357.5</c:v>
                </c:pt>
                <c:pt idx="13">
                  <c:v>657.5</c:v>
                </c:pt>
                <c:pt idx="15">
                  <c:v>357.5</c:v>
                </c:pt>
                <c:pt idx="16">
                  <c:v>657.5</c:v>
                </c:pt>
                <c:pt idx="18">
                  <c:v>357.5</c:v>
                </c:pt>
                <c:pt idx="19">
                  <c:v>657.5</c:v>
                </c:pt>
                <c:pt idx="21">
                  <c:v>357.5</c:v>
                </c:pt>
                <c:pt idx="22">
                  <c:v>657.5</c:v>
                </c:pt>
                <c:pt idx="24">
                  <c:v>357.5</c:v>
                </c:pt>
                <c:pt idx="25">
                  <c:v>657.5</c:v>
                </c:pt>
                <c:pt idx="27">
                  <c:v>357.5</c:v>
                </c:pt>
                <c:pt idx="28">
                  <c:v>657.5</c:v>
                </c:pt>
                <c:pt idx="30">
                  <c:v>357.5</c:v>
                </c:pt>
                <c:pt idx="31">
                  <c:v>657.5</c:v>
                </c:pt>
                <c:pt idx="33">
                  <c:v>357.5</c:v>
                </c:pt>
                <c:pt idx="34">
                  <c:v>657.5</c:v>
                </c:pt>
                <c:pt idx="36">
                  <c:v>357.5</c:v>
                </c:pt>
                <c:pt idx="37">
                  <c:v>657.5</c:v>
                </c:pt>
                <c:pt idx="39">
                  <c:v>357.5</c:v>
                </c:pt>
                <c:pt idx="40">
                  <c:v>657.5</c:v>
                </c:pt>
                <c:pt idx="42">
                  <c:v>357.5</c:v>
                </c:pt>
                <c:pt idx="43">
                  <c:v>657.5</c:v>
                </c:pt>
                <c:pt idx="45">
                  <c:v>357.5</c:v>
                </c:pt>
                <c:pt idx="46">
                  <c:v>657.5</c:v>
                </c:pt>
                <c:pt idx="48">
                  <c:v>357.5</c:v>
                </c:pt>
                <c:pt idx="49">
                  <c:v>657.5</c:v>
                </c:pt>
                <c:pt idx="51">
                  <c:v>357.5</c:v>
                </c:pt>
                <c:pt idx="52">
                  <c:v>657.5</c:v>
                </c:pt>
                <c:pt idx="54">
                  <c:v>357.5</c:v>
                </c:pt>
                <c:pt idx="55">
                  <c:v>657.5</c:v>
                </c:pt>
                <c:pt idx="57">
                  <c:v>357.5</c:v>
                </c:pt>
                <c:pt idx="58">
                  <c:v>657.5</c:v>
                </c:pt>
              </c:numCache>
            </c:numRef>
          </c:yVal>
          <c:smooth val="0"/>
        </c:ser>
        <c:ser>
          <c:idx val="7"/>
          <c:order val="6"/>
          <c:tx>
            <c:v>Cutoffs</c:v>
          </c:tx>
          <c:spPr>
            <a:ln w="12700">
              <a:solidFill>
                <a:srgbClr val="808080"/>
              </a:solidFill>
              <a:prstDash val="sysDash"/>
            </a:ln>
          </c:spPr>
          <c:marker>
            <c:symbol val="none"/>
          </c:marker>
          <c:xVal>
            <c:numRef>
              <c:f>[1]Graf!$C$88:$K$88</c:f>
              <c:numCache>
                <c:formatCode>General</c:formatCode>
                <c:ptCount val="9"/>
                <c:pt idx="0">
                  <c:v>162.5</c:v>
                </c:pt>
                <c:pt idx="1">
                  <c:v>162.5</c:v>
                </c:pt>
                <c:pt idx="2">
                  <c:v>537.5</c:v>
                </c:pt>
                <c:pt idx="3">
                  <c:v>537.5</c:v>
                </c:pt>
                <c:pt idx="5">
                  <c:v>1462.5</c:v>
                </c:pt>
                <c:pt idx="6">
                  <c:v>1462.5</c:v>
                </c:pt>
                <c:pt idx="7">
                  <c:v>1837.5</c:v>
                </c:pt>
                <c:pt idx="8">
                  <c:v>1837.5</c:v>
                </c:pt>
              </c:numCache>
            </c:numRef>
          </c:xVal>
          <c:yVal>
            <c:numRef>
              <c:f>[1]Graf!$C$89:$K$89</c:f>
              <c:numCache>
                <c:formatCode>General</c:formatCode>
                <c:ptCount val="9"/>
                <c:pt idx="0">
                  <c:v>270</c:v>
                </c:pt>
                <c:pt idx="1">
                  <c:v>320</c:v>
                </c:pt>
                <c:pt idx="2">
                  <c:v>320</c:v>
                </c:pt>
                <c:pt idx="3">
                  <c:v>270</c:v>
                </c:pt>
                <c:pt idx="5">
                  <c:v>270</c:v>
                </c:pt>
                <c:pt idx="6">
                  <c:v>320</c:v>
                </c:pt>
                <c:pt idx="7">
                  <c:v>320</c:v>
                </c:pt>
                <c:pt idx="8">
                  <c:v>270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0696704"/>
        <c:axId val="-1850698880"/>
      </c:scatterChart>
      <c:valAx>
        <c:axId val="-1850696704"/>
        <c:scaling>
          <c:orientation val="minMax"/>
          <c:min val="-40"/>
        </c:scaling>
        <c:delete val="1"/>
        <c:axPos val="b"/>
        <c:numFmt formatCode="General" sourceLinked="1"/>
        <c:majorTickMark val="out"/>
        <c:minorTickMark val="none"/>
        <c:tickLblPos val="nextTo"/>
        <c:crossAx val="-1850698880"/>
        <c:crosses val="autoZero"/>
        <c:crossBetween val="midCat"/>
        <c:majorUnit val="20"/>
      </c:valAx>
      <c:valAx>
        <c:axId val="-1850698880"/>
        <c:scaling>
          <c:orientation val="minMax"/>
          <c:min val="-40"/>
        </c:scaling>
        <c:delete val="1"/>
        <c:axPos val="l"/>
        <c:numFmt formatCode="General" sourceLinked="1"/>
        <c:majorTickMark val="out"/>
        <c:minorTickMark val="none"/>
        <c:tickLblPos val="nextTo"/>
        <c:crossAx val="-1850696704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Technical"/>
          <a:ea typeface="Technical"/>
          <a:cs typeface="Technical"/>
        </a:defRPr>
      </a:pPr>
      <a:endParaRPr lang="en-US"/>
    </a:p>
  </c:txPr>
  <c:printSettings>
    <c:headerFooter alignWithMargins="0"/>
    <c:pageMargins b="1" l="0.75" r="0.75" t="1" header="0.5" footer="0.5"/>
    <c:pageSetup paperSize="9" orientation="landscape" horizontalDpi="300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1.9048235416533853E-2"/>
          <c:y val="3.2895877240124778E-2"/>
          <c:w val="0.97146000624322659"/>
          <c:h val="0.94740126451559359"/>
        </c:manualLayout>
      </c:layout>
      <c:scatterChart>
        <c:scatterStyle val="lineMarker"/>
        <c:varyColors val="0"/>
        <c:ser>
          <c:idx val="0"/>
          <c:order val="0"/>
          <c:tx>
            <c:v>Cap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[1]Graf!$C$95:$G$95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2000</c:v>
                </c:pt>
                <c:pt idx="3">
                  <c:v>2000</c:v>
                </c:pt>
                <c:pt idx="4">
                  <c:v>0</c:v>
                </c:pt>
              </c:numCache>
            </c:numRef>
          </c:xVal>
          <c:yVal>
            <c:numRef>
              <c:f>[1]Graf!$C$96:$G$96</c:f>
              <c:numCache>
                <c:formatCode>General</c:formatCode>
                <c:ptCount val="5"/>
                <c:pt idx="0">
                  <c:v>270</c:v>
                </c:pt>
                <c:pt idx="1">
                  <c:v>720</c:v>
                </c:pt>
                <c:pt idx="2">
                  <c:v>720</c:v>
                </c:pt>
                <c:pt idx="3">
                  <c:v>270</c:v>
                </c:pt>
                <c:pt idx="4">
                  <c:v>270</c:v>
                </c:pt>
              </c:numCache>
            </c:numRef>
          </c:yVal>
          <c:smooth val="0"/>
        </c:ser>
        <c:ser>
          <c:idx val="3"/>
          <c:order val="1"/>
          <c:tx>
            <c:v>Btm bar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[1]Graf!$G$101:$J$101</c:f>
              <c:numCache>
                <c:formatCode>General</c:formatCode>
                <c:ptCount val="4"/>
                <c:pt idx="0">
                  <c:v>50</c:v>
                </c:pt>
                <c:pt idx="1">
                  <c:v>50</c:v>
                </c:pt>
                <c:pt idx="2">
                  <c:v>1950</c:v>
                </c:pt>
                <c:pt idx="3">
                  <c:v>1950</c:v>
                </c:pt>
              </c:numCache>
            </c:numRef>
          </c:xVal>
          <c:yVal>
            <c:numRef>
              <c:f>[1]Graf!$G$102:$J$102</c:f>
              <c:numCache>
                <c:formatCode>General</c:formatCode>
                <c:ptCount val="4"/>
                <c:pt idx="0">
                  <c:v>495</c:v>
                </c:pt>
                <c:pt idx="1">
                  <c:v>370</c:v>
                </c:pt>
                <c:pt idx="2">
                  <c:v>370</c:v>
                </c:pt>
                <c:pt idx="3">
                  <c:v>495</c:v>
                </c:pt>
              </c:numCache>
            </c:numRef>
          </c:yVal>
          <c:smooth val="0"/>
        </c:ser>
        <c:ser>
          <c:idx val="4"/>
          <c:order val="2"/>
          <c:tx>
            <c:v>Top bar</c:v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[1]Graf!$C$101:$D$101</c:f>
              <c:numCache>
                <c:formatCode>General</c:formatCode>
                <c:ptCount val="2"/>
                <c:pt idx="0">
                  <c:v>50</c:v>
                </c:pt>
                <c:pt idx="1">
                  <c:v>1950</c:v>
                </c:pt>
              </c:numCache>
            </c:numRef>
          </c:xVal>
          <c:yVal>
            <c:numRef>
              <c:f>[1]Graf!$C$102:$D$102</c:f>
              <c:numCache>
                <c:formatCode>General</c:formatCode>
                <c:ptCount val="2"/>
                <c:pt idx="0">
                  <c:v>645</c:v>
                </c:pt>
                <c:pt idx="1">
                  <c:v>645</c:v>
                </c:pt>
              </c:numCache>
            </c:numRef>
          </c:yVal>
          <c:smooth val="0"/>
        </c:ser>
        <c:ser>
          <c:idx val="1"/>
          <c:order val="3"/>
          <c:tx>
            <c:v>Piles</c:v>
          </c:tx>
          <c:spPr>
            <a:ln w="127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[1]Graf!$C$97:$M$97</c:f>
              <c:numCache>
                <c:formatCode>General</c:formatCode>
                <c:ptCount val="11"/>
                <c:pt idx="0">
                  <c:v>162.5</c:v>
                </c:pt>
                <c:pt idx="1">
                  <c:v>162.5</c:v>
                </c:pt>
                <c:pt idx="3">
                  <c:v>537.5</c:v>
                </c:pt>
                <c:pt idx="4">
                  <c:v>537.5</c:v>
                </c:pt>
                <c:pt idx="6">
                  <c:v>1462.5</c:v>
                </c:pt>
                <c:pt idx="7">
                  <c:v>1462.5</c:v>
                </c:pt>
                <c:pt idx="9">
                  <c:v>1837.5</c:v>
                </c:pt>
                <c:pt idx="10">
                  <c:v>1837.5</c:v>
                </c:pt>
              </c:numCache>
            </c:numRef>
          </c:xVal>
          <c:yVal>
            <c:numRef>
              <c:f>[1]Graf!$C$98:$M$98</c:f>
              <c:numCache>
                <c:formatCode>General</c:formatCode>
                <c:ptCount val="11"/>
                <c:pt idx="0">
                  <c:v>0</c:v>
                </c:pt>
                <c:pt idx="1">
                  <c:v>270</c:v>
                </c:pt>
                <c:pt idx="3">
                  <c:v>0</c:v>
                </c:pt>
                <c:pt idx="4">
                  <c:v>270</c:v>
                </c:pt>
                <c:pt idx="6">
                  <c:v>0</c:v>
                </c:pt>
                <c:pt idx="7">
                  <c:v>270</c:v>
                </c:pt>
                <c:pt idx="9">
                  <c:v>0</c:v>
                </c:pt>
                <c:pt idx="10">
                  <c:v>270</c:v>
                </c:pt>
              </c:numCache>
            </c:numRef>
          </c:yVal>
          <c:smooth val="0"/>
        </c:ser>
        <c:ser>
          <c:idx val="2"/>
          <c:order val="4"/>
          <c:tx>
            <c:v>Column</c:v>
          </c:tx>
          <c:spPr>
            <a:ln w="12700">
              <a:solidFill>
                <a:srgbClr val="808080"/>
              </a:solidFill>
              <a:prstDash val="solid"/>
            </a:ln>
          </c:spPr>
          <c:marker>
            <c:symbol val="none"/>
          </c:marker>
          <c:xVal>
            <c:numRef>
              <c:f>[1]Graf!$O$97:$S$97</c:f>
              <c:numCache>
                <c:formatCode>General</c:formatCode>
                <c:ptCount val="5"/>
                <c:pt idx="0">
                  <c:v>800</c:v>
                </c:pt>
                <c:pt idx="1">
                  <c:v>800</c:v>
                </c:pt>
                <c:pt idx="3">
                  <c:v>1200</c:v>
                </c:pt>
                <c:pt idx="4">
                  <c:v>1200</c:v>
                </c:pt>
              </c:numCache>
            </c:numRef>
          </c:xVal>
          <c:yVal>
            <c:numRef>
              <c:f>[1]Graf!$O$98:$S$98</c:f>
              <c:numCache>
                <c:formatCode>General</c:formatCode>
                <c:ptCount val="5"/>
                <c:pt idx="0">
                  <c:v>720</c:v>
                </c:pt>
                <c:pt idx="1">
                  <c:v>1057.5</c:v>
                </c:pt>
                <c:pt idx="3">
                  <c:v>720</c:v>
                </c:pt>
                <c:pt idx="4">
                  <c:v>1057.5</c:v>
                </c:pt>
              </c:numCache>
            </c:numRef>
          </c:yVal>
          <c:smooth val="0"/>
        </c:ser>
        <c:ser>
          <c:idx val="6"/>
          <c:order val="5"/>
          <c:tx>
            <c:v>Links</c:v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[1]Graf!$C$103:$BI$103</c:f>
              <c:numCache>
                <c:formatCode>General</c:formatCode>
                <c:ptCount val="59"/>
                <c:pt idx="0">
                  <c:v>100</c:v>
                </c:pt>
                <c:pt idx="1">
                  <c:v>100</c:v>
                </c:pt>
                <c:pt idx="3">
                  <c:v>300</c:v>
                </c:pt>
                <c:pt idx="4">
                  <c:v>300</c:v>
                </c:pt>
                <c:pt idx="6">
                  <c:v>500</c:v>
                </c:pt>
                <c:pt idx="7">
                  <c:v>500</c:v>
                </c:pt>
                <c:pt idx="9">
                  <c:v>700</c:v>
                </c:pt>
                <c:pt idx="10">
                  <c:v>700</c:v>
                </c:pt>
                <c:pt idx="12">
                  <c:v>900</c:v>
                </c:pt>
                <c:pt idx="13">
                  <c:v>900</c:v>
                </c:pt>
                <c:pt idx="15">
                  <c:v>1100</c:v>
                </c:pt>
                <c:pt idx="16">
                  <c:v>1100</c:v>
                </c:pt>
                <c:pt idx="18">
                  <c:v>1300</c:v>
                </c:pt>
                <c:pt idx="19">
                  <c:v>1300</c:v>
                </c:pt>
                <c:pt idx="21">
                  <c:v>1500</c:v>
                </c:pt>
                <c:pt idx="22">
                  <c:v>1500</c:v>
                </c:pt>
                <c:pt idx="24">
                  <c:v>1700</c:v>
                </c:pt>
                <c:pt idx="25">
                  <c:v>1700</c:v>
                </c:pt>
                <c:pt idx="27">
                  <c:v>1900</c:v>
                </c:pt>
                <c:pt idx="28">
                  <c:v>1900</c:v>
                </c:pt>
                <c:pt idx="30">
                  <c:v>1900</c:v>
                </c:pt>
                <c:pt idx="31">
                  <c:v>1900</c:v>
                </c:pt>
                <c:pt idx="33">
                  <c:v>1900</c:v>
                </c:pt>
                <c:pt idx="34">
                  <c:v>1900</c:v>
                </c:pt>
                <c:pt idx="36">
                  <c:v>1900</c:v>
                </c:pt>
                <c:pt idx="37">
                  <c:v>1900</c:v>
                </c:pt>
                <c:pt idx="39">
                  <c:v>1900</c:v>
                </c:pt>
                <c:pt idx="40">
                  <c:v>1900</c:v>
                </c:pt>
                <c:pt idx="42">
                  <c:v>1900</c:v>
                </c:pt>
                <c:pt idx="43">
                  <c:v>1900</c:v>
                </c:pt>
                <c:pt idx="45">
                  <c:v>1900</c:v>
                </c:pt>
                <c:pt idx="46">
                  <c:v>1900</c:v>
                </c:pt>
                <c:pt idx="48">
                  <c:v>1900</c:v>
                </c:pt>
                <c:pt idx="49">
                  <c:v>1900</c:v>
                </c:pt>
                <c:pt idx="51">
                  <c:v>1900</c:v>
                </c:pt>
                <c:pt idx="52">
                  <c:v>1900</c:v>
                </c:pt>
                <c:pt idx="54">
                  <c:v>1900</c:v>
                </c:pt>
                <c:pt idx="55">
                  <c:v>1900</c:v>
                </c:pt>
                <c:pt idx="57">
                  <c:v>1900</c:v>
                </c:pt>
                <c:pt idx="58">
                  <c:v>1900</c:v>
                </c:pt>
              </c:numCache>
            </c:numRef>
          </c:xVal>
          <c:yVal>
            <c:numRef>
              <c:f>[1]Graf!$C$93:$BI$93</c:f>
              <c:numCache>
                <c:formatCode>General</c:formatCode>
                <c:ptCount val="59"/>
                <c:pt idx="0">
                  <c:v>357.5</c:v>
                </c:pt>
                <c:pt idx="1">
                  <c:v>657.5</c:v>
                </c:pt>
                <c:pt idx="3">
                  <c:v>357.5</c:v>
                </c:pt>
                <c:pt idx="4">
                  <c:v>657.5</c:v>
                </c:pt>
                <c:pt idx="6">
                  <c:v>357.5</c:v>
                </c:pt>
                <c:pt idx="7">
                  <c:v>657.5</c:v>
                </c:pt>
                <c:pt idx="9">
                  <c:v>357.5</c:v>
                </c:pt>
                <c:pt idx="10">
                  <c:v>657.5</c:v>
                </c:pt>
                <c:pt idx="12">
                  <c:v>357.5</c:v>
                </c:pt>
                <c:pt idx="13">
                  <c:v>657.5</c:v>
                </c:pt>
                <c:pt idx="15">
                  <c:v>357.5</c:v>
                </c:pt>
                <c:pt idx="16">
                  <c:v>657.5</c:v>
                </c:pt>
                <c:pt idx="18">
                  <c:v>357.5</c:v>
                </c:pt>
                <c:pt idx="19">
                  <c:v>657.5</c:v>
                </c:pt>
                <c:pt idx="21">
                  <c:v>357.5</c:v>
                </c:pt>
                <c:pt idx="22">
                  <c:v>657.5</c:v>
                </c:pt>
                <c:pt idx="24">
                  <c:v>357.5</c:v>
                </c:pt>
                <c:pt idx="25">
                  <c:v>657.5</c:v>
                </c:pt>
                <c:pt idx="27">
                  <c:v>357.5</c:v>
                </c:pt>
                <c:pt idx="28">
                  <c:v>657.5</c:v>
                </c:pt>
                <c:pt idx="30">
                  <c:v>357.5</c:v>
                </c:pt>
                <c:pt idx="31">
                  <c:v>657.5</c:v>
                </c:pt>
                <c:pt idx="33">
                  <c:v>357.5</c:v>
                </c:pt>
                <c:pt idx="34">
                  <c:v>657.5</c:v>
                </c:pt>
                <c:pt idx="36">
                  <c:v>357.5</c:v>
                </c:pt>
                <c:pt idx="37">
                  <c:v>657.5</c:v>
                </c:pt>
                <c:pt idx="39">
                  <c:v>357.5</c:v>
                </c:pt>
                <c:pt idx="40">
                  <c:v>657.5</c:v>
                </c:pt>
                <c:pt idx="42">
                  <c:v>357.5</c:v>
                </c:pt>
                <c:pt idx="43">
                  <c:v>657.5</c:v>
                </c:pt>
                <c:pt idx="45">
                  <c:v>357.5</c:v>
                </c:pt>
                <c:pt idx="46">
                  <c:v>657.5</c:v>
                </c:pt>
                <c:pt idx="48">
                  <c:v>357.5</c:v>
                </c:pt>
                <c:pt idx="49">
                  <c:v>657.5</c:v>
                </c:pt>
                <c:pt idx="51">
                  <c:v>357.5</c:v>
                </c:pt>
                <c:pt idx="52">
                  <c:v>657.5</c:v>
                </c:pt>
                <c:pt idx="54">
                  <c:v>357.5</c:v>
                </c:pt>
                <c:pt idx="55">
                  <c:v>657.5</c:v>
                </c:pt>
                <c:pt idx="57">
                  <c:v>357.5</c:v>
                </c:pt>
                <c:pt idx="58">
                  <c:v>657.5</c:v>
                </c:pt>
              </c:numCache>
            </c:numRef>
          </c:yVal>
          <c:smooth val="0"/>
        </c:ser>
        <c:ser>
          <c:idx val="7"/>
          <c:order val="6"/>
          <c:tx>
            <c:v>Cutoffs</c:v>
          </c:tx>
          <c:spPr>
            <a:ln w="12700">
              <a:solidFill>
                <a:srgbClr val="808080"/>
              </a:solidFill>
              <a:prstDash val="sysDash"/>
            </a:ln>
          </c:spPr>
          <c:marker>
            <c:symbol val="none"/>
          </c:marker>
          <c:xVal>
            <c:numRef>
              <c:f>[1]Graf!$C$99:$K$99</c:f>
              <c:numCache>
                <c:formatCode>General</c:formatCode>
                <c:ptCount val="9"/>
                <c:pt idx="0">
                  <c:v>162.5</c:v>
                </c:pt>
                <c:pt idx="1">
                  <c:v>162.5</c:v>
                </c:pt>
                <c:pt idx="2">
                  <c:v>537.5</c:v>
                </c:pt>
                <c:pt idx="3">
                  <c:v>537.5</c:v>
                </c:pt>
                <c:pt idx="5">
                  <c:v>1462.5</c:v>
                </c:pt>
                <c:pt idx="6">
                  <c:v>1462.5</c:v>
                </c:pt>
                <c:pt idx="7">
                  <c:v>1837.5</c:v>
                </c:pt>
                <c:pt idx="8">
                  <c:v>1837.5</c:v>
                </c:pt>
              </c:numCache>
            </c:numRef>
          </c:xVal>
          <c:yVal>
            <c:numRef>
              <c:f>[1]Graf!$C$100:$K$100</c:f>
              <c:numCache>
                <c:formatCode>General</c:formatCode>
                <c:ptCount val="9"/>
                <c:pt idx="0">
                  <c:v>270</c:v>
                </c:pt>
                <c:pt idx="1">
                  <c:v>320</c:v>
                </c:pt>
                <c:pt idx="2">
                  <c:v>320</c:v>
                </c:pt>
                <c:pt idx="3">
                  <c:v>270</c:v>
                </c:pt>
                <c:pt idx="5">
                  <c:v>270</c:v>
                </c:pt>
                <c:pt idx="6">
                  <c:v>320</c:v>
                </c:pt>
                <c:pt idx="7">
                  <c:v>320</c:v>
                </c:pt>
                <c:pt idx="8">
                  <c:v>270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850708672"/>
        <c:axId val="-1850702688"/>
      </c:scatterChart>
      <c:valAx>
        <c:axId val="-1850708672"/>
        <c:scaling>
          <c:orientation val="minMax"/>
          <c:min val="-40"/>
        </c:scaling>
        <c:delete val="1"/>
        <c:axPos val="b"/>
        <c:numFmt formatCode="General" sourceLinked="1"/>
        <c:majorTickMark val="out"/>
        <c:minorTickMark val="none"/>
        <c:tickLblPos val="nextTo"/>
        <c:crossAx val="-1850702688"/>
        <c:crosses val="autoZero"/>
        <c:crossBetween val="midCat"/>
        <c:majorUnit val="20"/>
      </c:valAx>
      <c:valAx>
        <c:axId val="-1850702688"/>
        <c:scaling>
          <c:orientation val="minMax"/>
          <c:min val="-40"/>
        </c:scaling>
        <c:delete val="1"/>
        <c:axPos val="l"/>
        <c:numFmt formatCode="General" sourceLinked="1"/>
        <c:majorTickMark val="out"/>
        <c:minorTickMark val="none"/>
        <c:tickLblPos val="nextTo"/>
        <c:crossAx val="-1850708672"/>
        <c:crosses val="autoZero"/>
        <c:crossBetween val="midCat"/>
        <c:majorUnit val="2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400" b="0" i="0" u="none" strike="noStrike" baseline="0">
          <a:solidFill>
            <a:srgbClr val="000000"/>
          </a:solidFill>
          <a:latin typeface="Technical"/>
          <a:ea typeface="Technical"/>
          <a:cs typeface="Technic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161925</xdr:colOff>
      <xdr:row>10</xdr:row>
      <xdr:rowOff>76200</xdr:rowOff>
    </xdr:from>
    <xdr:to>
      <xdr:col>8</xdr:col>
      <xdr:colOff>447675</xdr:colOff>
      <xdr:row>21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295275</xdr:colOff>
          <xdr:row>23</xdr:row>
          <xdr:rowOff>57150</xdr:rowOff>
        </xdr:from>
        <xdr:to>
          <xdr:col>11</xdr:col>
          <xdr:colOff>1543050</xdr:colOff>
          <xdr:row>26</xdr:row>
          <xdr:rowOff>200025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CC99" mc:Ignorable="a14" a14:legacySpreadsheetColorIndex="47"/>
            </a:solidFill>
            <a:ln w="9525">
              <a:solidFill>
                <a:srgbClr val="FFCC99" mc:Ignorable="a14" a14:legacySpreadsheetColorIndex="47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133350</xdr:colOff>
          <xdr:row>10</xdr:row>
          <xdr:rowOff>85725</xdr:rowOff>
        </xdr:from>
        <xdr:to>
          <xdr:col>11</xdr:col>
          <xdr:colOff>342900</xdr:colOff>
          <xdr:row>18</xdr:row>
          <xdr:rowOff>219075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FFFFFF" mc:Ignorable="a14" a14:legacySpreadsheetColorIndex="9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6</xdr:col>
      <xdr:colOff>390525</xdr:colOff>
      <xdr:row>27</xdr:row>
      <xdr:rowOff>114300</xdr:rowOff>
    </xdr:from>
    <xdr:to>
      <xdr:col>11</xdr:col>
      <xdr:colOff>342900</xdr:colOff>
      <xdr:row>35</xdr:row>
      <xdr:rowOff>47625</xdr:rowOff>
    </xdr:to>
    <xdr:graphicFrame macro="">
      <xdr:nvGraphicFramePr>
        <xdr:cNvPr id="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6</xdr:col>
      <xdr:colOff>390525</xdr:colOff>
      <xdr:row>35</xdr:row>
      <xdr:rowOff>114300</xdr:rowOff>
    </xdr:from>
    <xdr:to>
      <xdr:col>11</xdr:col>
      <xdr:colOff>342900</xdr:colOff>
      <xdr:row>43</xdr:row>
      <xdr:rowOff>38100</xdr:rowOff>
    </xdr:to>
    <xdr:graphicFrame macro="">
      <xdr:nvGraphicFramePr>
        <xdr:cNvPr id="7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600075</xdr:colOff>
          <xdr:row>17</xdr:row>
          <xdr:rowOff>57150</xdr:rowOff>
        </xdr:from>
        <xdr:to>
          <xdr:col>11</xdr:col>
          <xdr:colOff>1581150</xdr:colOff>
          <xdr:row>19</xdr:row>
          <xdr:rowOff>47625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ekton"/>
                </a:rPr>
                <a:t>Print</a:t>
              </a:r>
              <a:endParaRPr lang="en-US" sz="1200" b="0" i="0" u="none" strike="noStrike" baseline="0">
                <a:solidFill>
                  <a:srgbClr val="008000"/>
                </a:solidFill>
                <a:latin typeface="Tekton"/>
              </a:endParaRPr>
            </a:p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8000"/>
                  </a:solidFill>
                  <a:latin typeface="Tekton"/>
                </a:rPr>
                <a:t>SUMMARY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1581150</xdr:colOff>
          <xdr:row>17</xdr:row>
          <xdr:rowOff>57150</xdr:rowOff>
        </xdr:from>
        <xdr:to>
          <xdr:col>11</xdr:col>
          <xdr:colOff>2419350</xdr:colOff>
          <xdr:row>19</xdr:row>
          <xdr:rowOff>38100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22860" rIns="36576" bIns="22860" anchor="ctr" upright="1"/>
            <a:lstStyle/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0000"/>
                  </a:solidFill>
                  <a:latin typeface="Tekton"/>
                </a:rPr>
                <a:t>Print</a:t>
              </a:r>
              <a:endParaRPr lang="en-US" sz="1200" b="0" i="0" u="none" strike="noStrike" baseline="0">
                <a:solidFill>
                  <a:srgbClr val="008000"/>
                </a:solidFill>
                <a:latin typeface="Tekton"/>
              </a:endParaRPr>
            </a:p>
            <a:p>
              <a:pPr algn="ctr" rtl="0">
                <a:defRPr sz="1000"/>
              </a:pPr>
              <a:r>
                <a:rPr lang="en-US" sz="1200" b="0" i="0" u="none" strike="noStrike" baseline="0">
                  <a:solidFill>
                    <a:srgbClr val="008000"/>
                  </a:solidFill>
                  <a:latin typeface="Tekton"/>
                </a:rPr>
                <a:t>DETAILS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p/Desktop/New%20folder%20(3)/Design%20of%20Pilecap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UBLE"/>
      <sheetName val="3CAP"/>
      <sheetName val="4CAP"/>
      <sheetName val="5CAP"/>
      <sheetName val="6CAP"/>
      <sheetName val="SCHEDULE"/>
      <sheetName val="DRAWING"/>
      <sheetName val="Graf"/>
      <sheetName val="NOTES"/>
      <sheetName val="Design of Pilecap(1)"/>
    </sheetNames>
    <definedNames>
      <definedName name="Details4"/>
      <definedName name="Summary4"/>
    </definedNames>
    <sheetDataSet>
      <sheetData sheetId="0">
        <row r="1">
          <cell r="M1" t="str">
            <v xml:space="preserve"> T</v>
          </cell>
          <cell r="O1">
            <v>9.9999999999999995E-7</v>
          </cell>
          <cell r="P1">
            <v>8</v>
          </cell>
          <cell r="Q1">
            <v>10</v>
          </cell>
        </row>
        <row r="2">
          <cell r="O2">
            <v>78.539816339744831</v>
          </cell>
          <cell r="P2">
            <v>10</v>
          </cell>
          <cell r="Q2">
            <v>12</v>
          </cell>
        </row>
        <row r="3">
          <cell r="O3">
            <v>113.09733552923255</v>
          </cell>
          <cell r="P3">
            <v>12</v>
          </cell>
          <cell r="Q3">
            <v>16</v>
          </cell>
        </row>
        <row r="4">
          <cell r="O4">
            <v>201.06192982974676</v>
          </cell>
          <cell r="P4">
            <v>16</v>
          </cell>
          <cell r="Q4">
            <v>20</v>
          </cell>
        </row>
        <row r="5">
          <cell r="N5">
            <v>4.7328638264796927</v>
          </cell>
          <cell r="O5">
            <v>314.15926535897933</v>
          </cell>
          <cell r="P5">
            <v>20</v>
          </cell>
          <cell r="Q5">
            <v>25</v>
          </cell>
        </row>
        <row r="6">
          <cell r="I6" t="str">
            <v>-</v>
          </cell>
          <cell r="O6">
            <v>490.87385212340519</v>
          </cell>
          <cell r="P6">
            <v>25</v>
          </cell>
          <cell r="Q6">
            <v>32</v>
          </cell>
        </row>
        <row r="7">
          <cell r="O7">
            <v>804.24771931898704</v>
          </cell>
          <cell r="P7">
            <v>32</v>
          </cell>
          <cell r="Q7">
            <v>40</v>
          </cell>
        </row>
        <row r="8">
          <cell r="D8">
            <v>35</v>
          </cell>
          <cell r="O8">
            <v>1256.6370614359173</v>
          </cell>
          <cell r="P8">
            <v>40</v>
          </cell>
          <cell r="Q8">
            <v>40</v>
          </cell>
        </row>
        <row r="9">
          <cell r="D9">
            <v>460</v>
          </cell>
          <cell r="G9">
            <v>50</v>
          </cell>
          <cell r="J9">
            <v>1.05</v>
          </cell>
        </row>
        <row r="10">
          <cell r="D10">
            <v>200</v>
          </cell>
          <cell r="G10">
            <v>75</v>
          </cell>
          <cell r="J10">
            <v>23.6</v>
          </cell>
        </row>
        <row r="17">
          <cell r="C17">
            <v>375</v>
          </cell>
        </row>
        <row r="58">
          <cell r="J58">
            <v>0.15577500000000002</v>
          </cell>
        </row>
        <row r="59">
          <cell r="J59">
            <v>1.2999999999999999E-3</v>
          </cell>
        </row>
      </sheetData>
      <sheetData sheetId="1" refreshError="1"/>
      <sheetData sheetId="2" refreshError="1"/>
      <sheetData sheetId="3" refreshError="1"/>
      <sheetData sheetId="4" refreshError="1"/>
      <sheetData sheetId="5">
        <row r="26">
          <cell r="W26">
            <v>87.272124447809944</v>
          </cell>
        </row>
      </sheetData>
      <sheetData sheetId="6" refreshError="1"/>
      <sheetData sheetId="7">
        <row r="72">
          <cell r="C72">
            <v>0</v>
          </cell>
          <cell r="D72">
            <v>0</v>
          </cell>
          <cell r="E72">
            <v>2000</v>
          </cell>
          <cell r="F72">
            <v>2000</v>
          </cell>
          <cell r="G72">
            <v>0</v>
          </cell>
          <cell r="H72">
            <v>2000</v>
          </cell>
          <cell r="K72">
            <v>-50</v>
          </cell>
          <cell r="L72">
            <v>2050</v>
          </cell>
          <cell r="N72">
            <v>1000</v>
          </cell>
          <cell r="O72">
            <v>1000</v>
          </cell>
        </row>
        <row r="73">
          <cell r="C73">
            <v>0</v>
          </cell>
          <cell r="D73">
            <v>2000</v>
          </cell>
          <cell r="E73">
            <v>2000</v>
          </cell>
          <cell r="F73">
            <v>0</v>
          </cell>
          <cell r="G73">
            <v>0</v>
          </cell>
          <cell r="H73">
            <v>2000</v>
          </cell>
          <cell r="K73">
            <v>1000</v>
          </cell>
          <cell r="L73">
            <v>1000</v>
          </cell>
          <cell r="N73">
            <v>-50</v>
          </cell>
          <cell r="O73">
            <v>2050</v>
          </cell>
        </row>
        <row r="74">
          <cell r="C74">
            <v>850</v>
          </cell>
          <cell r="D74">
            <v>850</v>
          </cell>
          <cell r="E74">
            <v>1150</v>
          </cell>
          <cell r="F74">
            <v>1150</v>
          </cell>
          <cell r="G74">
            <v>850</v>
          </cell>
          <cell r="I74">
            <v>880</v>
          </cell>
          <cell r="J74">
            <v>880</v>
          </cell>
          <cell r="L74">
            <v>910</v>
          </cell>
          <cell r="M74">
            <v>910</v>
          </cell>
          <cell r="O74">
            <v>940</v>
          </cell>
          <cell r="P74">
            <v>940</v>
          </cell>
          <cell r="R74">
            <v>970</v>
          </cell>
          <cell r="S74">
            <v>970</v>
          </cell>
          <cell r="U74">
            <v>1000</v>
          </cell>
          <cell r="V74">
            <v>1000</v>
          </cell>
          <cell r="X74">
            <v>1030</v>
          </cell>
          <cell r="Y74">
            <v>1030</v>
          </cell>
          <cell r="AA74">
            <v>1060</v>
          </cell>
          <cell r="AB74">
            <v>1060</v>
          </cell>
          <cell r="AD74">
            <v>1090</v>
          </cell>
          <cell r="AE74">
            <v>1090</v>
          </cell>
          <cell r="AG74">
            <v>1120</v>
          </cell>
          <cell r="AH74">
            <v>1120</v>
          </cell>
        </row>
        <row r="75">
          <cell r="C75">
            <v>800</v>
          </cell>
          <cell r="D75">
            <v>1200</v>
          </cell>
          <cell r="E75">
            <v>1200</v>
          </cell>
          <cell r="F75">
            <v>800</v>
          </cell>
          <cell r="G75">
            <v>800</v>
          </cell>
          <cell r="I75">
            <v>800</v>
          </cell>
          <cell r="J75">
            <v>1200</v>
          </cell>
          <cell r="L75">
            <v>800</v>
          </cell>
          <cell r="M75">
            <v>1200</v>
          </cell>
          <cell r="O75">
            <v>800</v>
          </cell>
          <cell r="P75">
            <v>1200</v>
          </cell>
          <cell r="R75">
            <v>800</v>
          </cell>
          <cell r="S75">
            <v>1200</v>
          </cell>
          <cell r="U75">
            <v>800</v>
          </cell>
          <cell r="V75">
            <v>1200</v>
          </cell>
          <cell r="X75">
            <v>800</v>
          </cell>
          <cell r="Y75">
            <v>1200</v>
          </cell>
          <cell r="AA75">
            <v>800</v>
          </cell>
          <cell r="AB75">
            <v>1200</v>
          </cell>
          <cell r="AD75">
            <v>800</v>
          </cell>
          <cell r="AE75">
            <v>1200</v>
          </cell>
          <cell r="AG75">
            <v>800</v>
          </cell>
          <cell r="AH75">
            <v>1200</v>
          </cell>
        </row>
        <row r="79">
          <cell r="C79">
            <v>350</v>
          </cell>
          <cell r="D79">
            <v>317.44096668745055</v>
          </cell>
          <cell r="E79">
            <v>285.87122312643714</v>
          </cell>
          <cell r="F79">
            <v>256.25</v>
          </cell>
          <cell r="G79">
            <v>229.47732318377388</v>
          </cell>
          <cell r="H79">
            <v>206.36666691519162</v>
          </cell>
          <cell r="I79">
            <v>187.62023679041775</v>
          </cell>
          <cell r="J79">
            <v>173.8076336026422</v>
          </cell>
          <cell r="K79">
            <v>165.34854631021099</v>
          </cell>
          <cell r="L79">
            <v>162.5</v>
          </cell>
          <cell r="M79">
            <v>165.34854631021099</v>
          </cell>
          <cell r="N79">
            <v>173.80763360264217</v>
          </cell>
          <cell r="O79">
            <v>187.62023679041775</v>
          </cell>
          <cell r="P79">
            <v>206.36666691519162</v>
          </cell>
          <cell r="Q79">
            <v>229.47732318377388</v>
          </cell>
          <cell r="R79">
            <v>256.25</v>
          </cell>
          <cell r="S79">
            <v>285.87122312643709</v>
          </cell>
          <cell r="T79">
            <v>317.44096668745055</v>
          </cell>
          <cell r="U79">
            <v>350</v>
          </cell>
          <cell r="V79">
            <v>382.55903331254945</v>
          </cell>
          <cell r="W79">
            <v>414.12877687356291</v>
          </cell>
          <cell r="X79">
            <v>443.75</v>
          </cell>
          <cell r="Y79">
            <v>470.52267681622612</v>
          </cell>
          <cell r="Z79">
            <v>493.63333308480838</v>
          </cell>
          <cell r="AA79">
            <v>512.37976320958228</v>
          </cell>
          <cell r="AB79">
            <v>526.19236639735777</v>
          </cell>
          <cell r="AC79">
            <v>534.65145368978904</v>
          </cell>
          <cell r="AD79">
            <v>537.5</v>
          </cell>
          <cell r="AE79">
            <v>534.65145368978904</v>
          </cell>
          <cell r="AF79">
            <v>526.19236639735777</v>
          </cell>
          <cell r="AG79">
            <v>512.37976320958228</v>
          </cell>
          <cell r="AH79">
            <v>493.63333308480838</v>
          </cell>
          <cell r="AI79">
            <v>470.52267681622612</v>
          </cell>
          <cell r="AJ79">
            <v>443.75</v>
          </cell>
          <cell r="AK79">
            <v>414.12877687356291</v>
          </cell>
          <cell r="AL79">
            <v>382.55903331254945</v>
          </cell>
          <cell r="AM79">
            <v>350</v>
          </cell>
        </row>
        <row r="80">
          <cell r="C80">
            <v>1650</v>
          </cell>
          <cell r="D80">
            <v>1617.4409666874506</v>
          </cell>
          <cell r="E80">
            <v>1585.8712231264371</v>
          </cell>
          <cell r="F80">
            <v>1556.25</v>
          </cell>
          <cell r="G80">
            <v>1529.4773231837739</v>
          </cell>
          <cell r="H80">
            <v>1506.3666669151917</v>
          </cell>
          <cell r="I80">
            <v>1487.6202367904177</v>
          </cell>
          <cell r="J80">
            <v>1473.8076336026422</v>
          </cell>
          <cell r="K80">
            <v>1465.3485463102111</v>
          </cell>
          <cell r="L80">
            <v>1462.5</v>
          </cell>
          <cell r="M80">
            <v>1465.3485463102111</v>
          </cell>
          <cell r="N80">
            <v>1473.8076336026422</v>
          </cell>
          <cell r="O80">
            <v>1487.6202367904177</v>
          </cell>
          <cell r="P80">
            <v>1506.3666669151917</v>
          </cell>
          <cell r="Q80">
            <v>1529.4773231837739</v>
          </cell>
          <cell r="R80">
            <v>1556.25</v>
          </cell>
          <cell r="S80">
            <v>1585.8712231264371</v>
          </cell>
          <cell r="T80">
            <v>1617.4409666874506</v>
          </cell>
          <cell r="U80">
            <v>1650</v>
          </cell>
          <cell r="V80">
            <v>1682.5590333125494</v>
          </cell>
          <cell r="W80">
            <v>1714.1287768735629</v>
          </cell>
          <cell r="X80">
            <v>1743.75</v>
          </cell>
          <cell r="Y80">
            <v>1770.5226768162261</v>
          </cell>
          <cell r="Z80">
            <v>1793.6333330848083</v>
          </cell>
          <cell r="AA80">
            <v>1812.3797632095823</v>
          </cell>
          <cell r="AB80">
            <v>1826.1923663973578</v>
          </cell>
          <cell r="AC80">
            <v>1834.6514536897889</v>
          </cell>
          <cell r="AD80">
            <v>1837.5</v>
          </cell>
          <cell r="AE80">
            <v>1834.6514536897889</v>
          </cell>
          <cell r="AF80">
            <v>1826.1923663973578</v>
          </cell>
          <cell r="AG80">
            <v>1812.3797632095823</v>
          </cell>
          <cell r="AH80">
            <v>1793.6333330848083</v>
          </cell>
          <cell r="AI80">
            <v>1770.5226768162261</v>
          </cell>
          <cell r="AJ80">
            <v>1743.75</v>
          </cell>
          <cell r="AK80">
            <v>1714.1287768735629</v>
          </cell>
          <cell r="AL80">
            <v>1682.5590333125494</v>
          </cell>
          <cell r="AM80">
            <v>1650</v>
          </cell>
        </row>
        <row r="81">
          <cell r="C81">
            <v>162.5</v>
          </cell>
          <cell r="D81">
            <v>165.34854631021099</v>
          </cell>
          <cell r="E81">
            <v>173.80763360264217</v>
          </cell>
          <cell r="F81">
            <v>187.62023679041775</v>
          </cell>
          <cell r="G81">
            <v>206.36666691519159</v>
          </cell>
          <cell r="H81">
            <v>229.47732318377388</v>
          </cell>
          <cell r="I81">
            <v>256.25</v>
          </cell>
          <cell r="J81">
            <v>285.87122312643703</v>
          </cell>
          <cell r="K81">
            <v>317.4409666874505</v>
          </cell>
          <cell r="L81">
            <v>350</v>
          </cell>
          <cell r="M81">
            <v>382.5590333125495</v>
          </cell>
          <cell r="N81">
            <v>414.12877687356286</v>
          </cell>
          <cell r="O81">
            <v>443.75</v>
          </cell>
          <cell r="P81">
            <v>470.52267681622612</v>
          </cell>
          <cell r="Q81">
            <v>493.63333308480838</v>
          </cell>
          <cell r="R81">
            <v>512.37976320958228</v>
          </cell>
          <cell r="S81">
            <v>526.19236639735777</v>
          </cell>
          <cell r="T81">
            <v>534.65145368978904</v>
          </cell>
          <cell r="U81">
            <v>537.5</v>
          </cell>
          <cell r="V81">
            <v>534.65145368978904</v>
          </cell>
          <cell r="W81">
            <v>526.19236639735777</v>
          </cell>
          <cell r="X81">
            <v>512.37976320958228</v>
          </cell>
          <cell r="Y81">
            <v>493.63333308480838</v>
          </cell>
          <cell r="Z81">
            <v>470.52267681622612</v>
          </cell>
          <cell r="AA81">
            <v>443.75</v>
          </cell>
          <cell r="AB81">
            <v>414.12877687356286</v>
          </cell>
          <cell r="AC81">
            <v>382.5590333125495</v>
          </cell>
          <cell r="AD81">
            <v>350</v>
          </cell>
          <cell r="AE81">
            <v>317.4409666874505</v>
          </cell>
          <cell r="AF81">
            <v>285.87122312643714</v>
          </cell>
          <cell r="AG81">
            <v>256.25</v>
          </cell>
          <cell r="AH81">
            <v>229.47732318377388</v>
          </cell>
          <cell r="AI81">
            <v>206.36666691519162</v>
          </cell>
          <cell r="AJ81">
            <v>187.62023679041775</v>
          </cell>
          <cell r="AK81">
            <v>173.8076336026422</v>
          </cell>
          <cell r="AL81">
            <v>165.34854631021099</v>
          </cell>
          <cell r="AM81">
            <v>162.5</v>
          </cell>
        </row>
        <row r="82">
          <cell r="C82">
            <v>1462.5</v>
          </cell>
          <cell r="D82">
            <v>1465.3485463102111</v>
          </cell>
          <cell r="E82">
            <v>1473.8076336026422</v>
          </cell>
          <cell r="F82">
            <v>1487.6202367904177</v>
          </cell>
          <cell r="G82">
            <v>1506.3666669151917</v>
          </cell>
          <cell r="H82">
            <v>1529.4773231837739</v>
          </cell>
          <cell r="I82">
            <v>1556.25</v>
          </cell>
          <cell r="J82">
            <v>1585.8712231264371</v>
          </cell>
          <cell r="K82">
            <v>1617.4409666874506</v>
          </cell>
          <cell r="L82">
            <v>1650</v>
          </cell>
          <cell r="M82">
            <v>1682.5590333125494</v>
          </cell>
          <cell r="N82">
            <v>1714.1287768735629</v>
          </cell>
          <cell r="O82">
            <v>1743.75</v>
          </cell>
          <cell r="P82">
            <v>1770.5226768162261</v>
          </cell>
          <cell r="Q82">
            <v>1793.6333330848083</v>
          </cell>
          <cell r="R82">
            <v>1812.3797632095823</v>
          </cell>
          <cell r="S82">
            <v>1826.1923663973578</v>
          </cell>
          <cell r="T82">
            <v>1834.6514536897889</v>
          </cell>
          <cell r="U82">
            <v>1837.5</v>
          </cell>
          <cell r="V82">
            <v>1834.6514536897889</v>
          </cell>
          <cell r="W82">
            <v>1826.1923663973578</v>
          </cell>
          <cell r="X82">
            <v>1812.3797632095823</v>
          </cell>
          <cell r="Y82">
            <v>1793.6333330848083</v>
          </cell>
          <cell r="Z82">
            <v>1770.5226768162261</v>
          </cell>
          <cell r="AA82">
            <v>1743.75</v>
          </cell>
          <cell r="AB82">
            <v>1714.1287768735629</v>
          </cell>
          <cell r="AC82">
            <v>1682.5590333125494</v>
          </cell>
          <cell r="AD82">
            <v>1650</v>
          </cell>
          <cell r="AE82">
            <v>1617.4409666874506</v>
          </cell>
          <cell r="AF82">
            <v>1585.8712231264371</v>
          </cell>
          <cell r="AG82">
            <v>1556.25</v>
          </cell>
          <cell r="AH82">
            <v>1529.4773231837739</v>
          </cell>
          <cell r="AI82">
            <v>1506.3666669151917</v>
          </cell>
          <cell r="AJ82">
            <v>1487.6202367904177</v>
          </cell>
          <cell r="AK82">
            <v>1473.8076336026422</v>
          </cell>
          <cell r="AL82">
            <v>1465.3485463102111</v>
          </cell>
          <cell r="AM82">
            <v>1462.5</v>
          </cell>
        </row>
        <row r="84">
          <cell r="C84">
            <v>0</v>
          </cell>
          <cell r="D84">
            <v>0</v>
          </cell>
          <cell r="E84">
            <v>2000</v>
          </cell>
          <cell r="F84">
            <v>2000</v>
          </cell>
          <cell r="G84">
            <v>0</v>
          </cell>
        </row>
        <row r="85">
          <cell r="C85">
            <v>270</v>
          </cell>
          <cell r="D85">
            <v>720</v>
          </cell>
          <cell r="E85">
            <v>720</v>
          </cell>
          <cell r="F85">
            <v>270</v>
          </cell>
          <cell r="G85">
            <v>270</v>
          </cell>
        </row>
        <row r="86">
          <cell r="C86">
            <v>162.5</v>
          </cell>
          <cell r="D86">
            <v>162.5</v>
          </cell>
          <cell r="F86">
            <v>537.5</v>
          </cell>
          <cell r="G86">
            <v>537.5</v>
          </cell>
          <cell r="I86">
            <v>1462.5</v>
          </cell>
          <cell r="J86">
            <v>1462.5</v>
          </cell>
          <cell r="L86">
            <v>1837.5</v>
          </cell>
          <cell r="M86">
            <v>1837.5</v>
          </cell>
          <cell r="O86">
            <v>850</v>
          </cell>
          <cell r="P86">
            <v>850</v>
          </cell>
          <cell r="R86">
            <v>1150</v>
          </cell>
          <cell r="S86">
            <v>1150</v>
          </cell>
        </row>
        <row r="87">
          <cell r="C87">
            <v>0</v>
          </cell>
          <cell r="D87">
            <v>270</v>
          </cell>
          <cell r="F87">
            <v>0</v>
          </cell>
          <cell r="G87">
            <v>270</v>
          </cell>
          <cell r="I87">
            <v>0</v>
          </cell>
          <cell r="J87">
            <v>270</v>
          </cell>
          <cell r="L87">
            <v>0</v>
          </cell>
          <cell r="M87">
            <v>270</v>
          </cell>
          <cell r="O87">
            <v>720</v>
          </cell>
          <cell r="P87">
            <v>1057.5</v>
          </cell>
          <cell r="R87">
            <v>720</v>
          </cell>
          <cell r="S87">
            <v>1057.5</v>
          </cell>
        </row>
        <row r="88">
          <cell r="C88">
            <v>162.5</v>
          </cell>
          <cell r="D88">
            <v>162.5</v>
          </cell>
          <cell r="E88">
            <v>537.5</v>
          </cell>
          <cell r="F88">
            <v>537.5</v>
          </cell>
          <cell r="H88">
            <v>1462.5</v>
          </cell>
          <cell r="I88">
            <v>1462.5</v>
          </cell>
          <cell r="J88">
            <v>1837.5</v>
          </cell>
          <cell r="K88">
            <v>1837.5</v>
          </cell>
        </row>
        <row r="89">
          <cell r="C89">
            <v>270</v>
          </cell>
          <cell r="D89">
            <v>320</v>
          </cell>
          <cell r="E89">
            <v>320</v>
          </cell>
          <cell r="F89">
            <v>270</v>
          </cell>
          <cell r="H89">
            <v>270</v>
          </cell>
          <cell r="I89">
            <v>320</v>
          </cell>
          <cell r="J89">
            <v>320</v>
          </cell>
          <cell r="K89">
            <v>270</v>
          </cell>
        </row>
        <row r="90">
          <cell r="C90">
            <v>50</v>
          </cell>
          <cell r="D90">
            <v>1950</v>
          </cell>
          <cell r="G90">
            <v>50</v>
          </cell>
          <cell r="H90">
            <v>50</v>
          </cell>
          <cell r="I90">
            <v>1950</v>
          </cell>
          <cell r="J90">
            <v>1950</v>
          </cell>
          <cell r="M90">
            <v>10</v>
          </cell>
        </row>
        <row r="91">
          <cell r="C91">
            <v>670</v>
          </cell>
          <cell r="D91">
            <v>670</v>
          </cell>
          <cell r="G91">
            <v>470</v>
          </cell>
          <cell r="H91">
            <v>345</v>
          </cell>
          <cell r="I91">
            <v>345</v>
          </cell>
          <cell r="J91">
            <v>470</v>
          </cell>
        </row>
        <row r="92">
          <cell r="C92">
            <v>100</v>
          </cell>
          <cell r="D92">
            <v>100</v>
          </cell>
          <cell r="F92">
            <v>357.14285714285717</v>
          </cell>
          <cell r="G92">
            <v>357.14285714285717</v>
          </cell>
          <cell r="I92">
            <v>614.28571428571433</v>
          </cell>
          <cell r="J92">
            <v>614.28571428571433</v>
          </cell>
          <cell r="L92">
            <v>871.42857142857156</v>
          </cell>
          <cell r="M92">
            <v>871.42857142857156</v>
          </cell>
          <cell r="O92">
            <v>1128.5714285714287</v>
          </cell>
          <cell r="P92">
            <v>1128.5714285714287</v>
          </cell>
          <cell r="R92">
            <v>1385.7142857142858</v>
          </cell>
          <cell r="S92">
            <v>1385.7142857142858</v>
          </cell>
          <cell r="U92">
            <v>1642.8571428571429</v>
          </cell>
          <cell r="V92">
            <v>1642.8571428571429</v>
          </cell>
          <cell r="X92">
            <v>1900</v>
          </cell>
          <cell r="Y92">
            <v>1900</v>
          </cell>
          <cell r="AA92">
            <v>1900</v>
          </cell>
          <cell r="AB92">
            <v>1900</v>
          </cell>
          <cell r="AD92">
            <v>1900</v>
          </cell>
          <cell r="AE92">
            <v>1900</v>
          </cell>
          <cell r="AG92">
            <v>1900</v>
          </cell>
          <cell r="AH92">
            <v>1900</v>
          </cell>
          <cell r="AJ92">
            <v>1900</v>
          </cell>
          <cell r="AK92">
            <v>1900</v>
          </cell>
          <cell r="AM92">
            <v>1900</v>
          </cell>
          <cell r="AN92">
            <v>1900</v>
          </cell>
          <cell r="AP92">
            <v>1900</v>
          </cell>
          <cell r="AQ92">
            <v>1900</v>
          </cell>
          <cell r="AS92">
            <v>1900</v>
          </cell>
          <cell r="AT92">
            <v>1900</v>
          </cell>
          <cell r="AV92">
            <v>1900</v>
          </cell>
          <cell r="AW92">
            <v>1900</v>
          </cell>
          <cell r="AY92">
            <v>1900</v>
          </cell>
          <cell r="AZ92">
            <v>1900</v>
          </cell>
          <cell r="BB92">
            <v>1900</v>
          </cell>
          <cell r="BC92">
            <v>1900</v>
          </cell>
          <cell r="BE92">
            <v>1900</v>
          </cell>
          <cell r="BF92">
            <v>1900</v>
          </cell>
          <cell r="BH92">
            <v>1900</v>
          </cell>
          <cell r="BI92">
            <v>1900</v>
          </cell>
        </row>
        <row r="93">
          <cell r="C93">
            <v>357.5</v>
          </cell>
          <cell r="D93">
            <v>657.5</v>
          </cell>
          <cell r="F93">
            <v>357.5</v>
          </cell>
          <cell r="G93">
            <v>657.5</v>
          </cell>
          <cell r="I93">
            <v>357.5</v>
          </cell>
          <cell r="J93">
            <v>657.5</v>
          </cell>
          <cell r="L93">
            <v>357.5</v>
          </cell>
          <cell r="M93">
            <v>657.5</v>
          </cell>
          <cell r="O93">
            <v>357.5</v>
          </cell>
          <cell r="P93">
            <v>657.5</v>
          </cell>
          <cell r="R93">
            <v>357.5</v>
          </cell>
          <cell r="S93">
            <v>657.5</v>
          </cell>
          <cell r="U93">
            <v>357.5</v>
          </cell>
          <cell r="V93">
            <v>657.5</v>
          </cell>
          <cell r="X93">
            <v>357.5</v>
          </cell>
          <cell r="Y93">
            <v>657.5</v>
          </cell>
          <cell r="AA93">
            <v>357.5</v>
          </cell>
          <cell r="AB93">
            <v>657.5</v>
          </cell>
          <cell r="AD93">
            <v>357.5</v>
          </cell>
          <cell r="AE93">
            <v>657.5</v>
          </cell>
          <cell r="AG93">
            <v>357.5</v>
          </cell>
          <cell r="AH93">
            <v>657.5</v>
          </cell>
          <cell r="AJ93">
            <v>357.5</v>
          </cell>
          <cell r="AK93">
            <v>657.5</v>
          </cell>
          <cell r="AM93">
            <v>357.5</v>
          </cell>
          <cell r="AN93">
            <v>657.5</v>
          </cell>
          <cell r="AP93">
            <v>357.5</v>
          </cell>
          <cell r="AQ93">
            <v>657.5</v>
          </cell>
          <cell r="AS93">
            <v>357.5</v>
          </cell>
          <cell r="AT93">
            <v>657.5</v>
          </cell>
          <cell r="AV93">
            <v>357.5</v>
          </cell>
          <cell r="AW93">
            <v>657.5</v>
          </cell>
          <cell r="AY93">
            <v>357.5</v>
          </cell>
          <cell r="AZ93">
            <v>657.5</v>
          </cell>
          <cell r="BB93">
            <v>357.5</v>
          </cell>
          <cell r="BC93">
            <v>657.5</v>
          </cell>
          <cell r="BE93">
            <v>357.5</v>
          </cell>
          <cell r="BF93">
            <v>657.5</v>
          </cell>
          <cell r="BH93">
            <v>357.5</v>
          </cell>
          <cell r="BI93">
            <v>657.5</v>
          </cell>
        </row>
        <row r="95">
          <cell r="C95">
            <v>0</v>
          </cell>
          <cell r="D95">
            <v>0</v>
          </cell>
          <cell r="E95">
            <v>2000</v>
          </cell>
          <cell r="F95">
            <v>2000</v>
          </cell>
          <cell r="G95">
            <v>0</v>
          </cell>
        </row>
        <row r="96">
          <cell r="C96">
            <v>270</v>
          </cell>
          <cell r="D96">
            <v>720</v>
          </cell>
          <cell r="E96">
            <v>720</v>
          </cell>
          <cell r="F96">
            <v>270</v>
          </cell>
          <cell r="G96">
            <v>270</v>
          </cell>
        </row>
        <row r="97">
          <cell r="C97">
            <v>162.5</v>
          </cell>
          <cell r="D97">
            <v>162.5</v>
          </cell>
          <cell r="F97">
            <v>537.5</v>
          </cell>
          <cell r="G97">
            <v>537.5</v>
          </cell>
          <cell r="I97">
            <v>1462.5</v>
          </cell>
          <cell r="J97">
            <v>1462.5</v>
          </cell>
          <cell r="L97">
            <v>1837.5</v>
          </cell>
          <cell r="M97">
            <v>1837.5</v>
          </cell>
          <cell r="O97">
            <v>800</v>
          </cell>
          <cell r="P97">
            <v>800</v>
          </cell>
          <cell r="R97">
            <v>1200</v>
          </cell>
          <cell r="S97">
            <v>1200</v>
          </cell>
        </row>
        <row r="98">
          <cell r="C98">
            <v>0</v>
          </cell>
          <cell r="D98">
            <v>270</v>
          </cell>
          <cell r="F98">
            <v>0</v>
          </cell>
          <cell r="G98">
            <v>270</v>
          </cell>
          <cell r="I98">
            <v>0</v>
          </cell>
          <cell r="J98">
            <v>270</v>
          </cell>
          <cell r="L98">
            <v>0</v>
          </cell>
          <cell r="M98">
            <v>270</v>
          </cell>
          <cell r="O98">
            <v>720</v>
          </cell>
          <cell r="P98">
            <v>1057.5</v>
          </cell>
          <cell r="R98">
            <v>720</v>
          </cell>
          <cell r="S98">
            <v>1057.5</v>
          </cell>
        </row>
        <row r="99">
          <cell r="C99">
            <v>162.5</v>
          </cell>
          <cell r="D99">
            <v>162.5</v>
          </cell>
          <cell r="E99">
            <v>537.5</v>
          </cell>
          <cell r="F99">
            <v>537.5</v>
          </cell>
          <cell r="H99">
            <v>1462.5</v>
          </cell>
          <cell r="I99">
            <v>1462.5</v>
          </cell>
          <cell r="J99">
            <v>1837.5</v>
          </cell>
          <cell r="K99">
            <v>1837.5</v>
          </cell>
        </row>
        <row r="100">
          <cell r="C100">
            <v>270</v>
          </cell>
          <cell r="D100">
            <v>320</v>
          </cell>
          <cell r="E100">
            <v>320</v>
          </cell>
          <cell r="F100">
            <v>270</v>
          </cell>
          <cell r="H100">
            <v>270</v>
          </cell>
          <cell r="I100">
            <v>320</v>
          </cell>
          <cell r="J100">
            <v>320</v>
          </cell>
          <cell r="K100">
            <v>270</v>
          </cell>
        </row>
        <row r="101">
          <cell r="C101">
            <v>50</v>
          </cell>
          <cell r="D101">
            <v>1950</v>
          </cell>
          <cell r="G101">
            <v>50</v>
          </cell>
          <cell r="H101">
            <v>50</v>
          </cell>
          <cell r="I101">
            <v>1950</v>
          </cell>
          <cell r="J101">
            <v>1950</v>
          </cell>
          <cell r="M101">
            <v>10</v>
          </cell>
        </row>
        <row r="102">
          <cell r="C102">
            <v>645</v>
          </cell>
          <cell r="D102">
            <v>645</v>
          </cell>
          <cell r="G102">
            <v>495</v>
          </cell>
          <cell r="H102">
            <v>370</v>
          </cell>
          <cell r="I102">
            <v>370</v>
          </cell>
          <cell r="J102">
            <v>495</v>
          </cell>
        </row>
        <row r="103">
          <cell r="C103">
            <v>100</v>
          </cell>
          <cell r="D103">
            <v>100</v>
          </cell>
          <cell r="F103">
            <v>300</v>
          </cell>
          <cell r="G103">
            <v>300</v>
          </cell>
          <cell r="I103">
            <v>500</v>
          </cell>
          <cell r="J103">
            <v>500</v>
          </cell>
          <cell r="L103">
            <v>700</v>
          </cell>
          <cell r="M103">
            <v>700</v>
          </cell>
          <cell r="O103">
            <v>900</v>
          </cell>
          <cell r="P103">
            <v>900</v>
          </cell>
          <cell r="R103">
            <v>1100</v>
          </cell>
          <cell r="S103">
            <v>1100</v>
          </cell>
          <cell r="U103">
            <v>1300</v>
          </cell>
          <cell r="V103">
            <v>1300</v>
          </cell>
          <cell r="X103">
            <v>1500</v>
          </cell>
          <cell r="Y103">
            <v>1500</v>
          </cell>
          <cell r="AA103">
            <v>1700</v>
          </cell>
          <cell r="AB103">
            <v>1700</v>
          </cell>
          <cell r="AD103">
            <v>1900</v>
          </cell>
          <cell r="AE103">
            <v>1900</v>
          </cell>
          <cell r="AG103">
            <v>1900</v>
          </cell>
          <cell r="AH103">
            <v>1900</v>
          </cell>
          <cell r="AJ103">
            <v>1900</v>
          </cell>
          <cell r="AK103">
            <v>1900</v>
          </cell>
          <cell r="AM103">
            <v>1900</v>
          </cell>
          <cell r="AN103">
            <v>1900</v>
          </cell>
          <cell r="AP103">
            <v>1900</v>
          </cell>
          <cell r="AQ103">
            <v>1900</v>
          </cell>
          <cell r="AS103">
            <v>1900</v>
          </cell>
          <cell r="AT103">
            <v>1900</v>
          </cell>
          <cell r="AV103">
            <v>1900</v>
          </cell>
          <cell r="AW103">
            <v>1900</v>
          </cell>
          <cell r="AY103">
            <v>1900</v>
          </cell>
          <cell r="AZ103">
            <v>1900</v>
          </cell>
          <cell r="BB103">
            <v>1900</v>
          </cell>
          <cell r="BC103">
            <v>1900</v>
          </cell>
          <cell r="BE103">
            <v>1900</v>
          </cell>
          <cell r="BF103">
            <v>1900</v>
          </cell>
          <cell r="BH103">
            <v>1900</v>
          </cell>
          <cell r="BI103">
            <v>1900</v>
          </cell>
        </row>
      </sheetData>
      <sheetData sheetId="8" refreshError="1"/>
      <sheetData sheetId="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Relationship Id="rId9" Type="http://schemas.openxmlformats.org/officeDocument/2006/relationships/ctrlProp" Target="../ctrlProps/ctrlProp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08"/>
  <sheetViews>
    <sheetView tabSelected="1" topLeftCell="A4" workbookViewId="0">
      <selection activeCell="G8" sqref="G8:H9"/>
    </sheetView>
  </sheetViews>
  <sheetFormatPr defaultColWidth="11.140625" defaultRowHeight="15"/>
  <cols>
    <col min="1" max="1" width="3.85546875" style="31" customWidth="1"/>
    <col min="2" max="2" width="14.7109375" style="31" customWidth="1"/>
    <col min="3" max="9" width="10.7109375" style="31" customWidth="1"/>
    <col min="10" max="10" width="13.140625" style="31" customWidth="1"/>
    <col min="11" max="11" width="10.7109375" style="31" customWidth="1"/>
    <col min="12" max="12" width="56.5703125" style="31" customWidth="1"/>
    <col min="13" max="256" width="11.140625" style="31"/>
    <col min="257" max="257" width="3.85546875" style="31" customWidth="1"/>
    <col min="258" max="258" width="14.7109375" style="31" customWidth="1"/>
    <col min="259" max="265" width="10.7109375" style="31" customWidth="1"/>
    <col min="266" max="266" width="13.140625" style="31" customWidth="1"/>
    <col min="267" max="267" width="10.7109375" style="31" customWidth="1"/>
    <col min="268" max="268" width="56.5703125" style="31" customWidth="1"/>
    <col min="269" max="512" width="11.140625" style="31"/>
    <col min="513" max="513" width="3.85546875" style="31" customWidth="1"/>
    <col min="514" max="514" width="14.7109375" style="31" customWidth="1"/>
    <col min="515" max="521" width="10.7109375" style="31" customWidth="1"/>
    <col min="522" max="522" width="13.140625" style="31" customWidth="1"/>
    <col min="523" max="523" width="10.7109375" style="31" customWidth="1"/>
    <col min="524" max="524" width="56.5703125" style="31" customWidth="1"/>
    <col min="525" max="768" width="11.140625" style="31"/>
    <col min="769" max="769" width="3.85546875" style="31" customWidth="1"/>
    <col min="770" max="770" width="14.7109375" style="31" customWidth="1"/>
    <col min="771" max="777" width="10.7109375" style="31" customWidth="1"/>
    <col min="778" max="778" width="13.140625" style="31" customWidth="1"/>
    <col min="779" max="779" width="10.7109375" style="31" customWidth="1"/>
    <col min="780" max="780" width="56.5703125" style="31" customWidth="1"/>
    <col min="781" max="1024" width="11.140625" style="31"/>
    <col min="1025" max="1025" width="3.85546875" style="31" customWidth="1"/>
    <col min="1026" max="1026" width="14.7109375" style="31" customWidth="1"/>
    <col min="1027" max="1033" width="10.7109375" style="31" customWidth="1"/>
    <col min="1034" max="1034" width="13.140625" style="31" customWidth="1"/>
    <col min="1035" max="1035" width="10.7109375" style="31" customWidth="1"/>
    <col min="1036" max="1036" width="56.5703125" style="31" customWidth="1"/>
    <col min="1037" max="1280" width="11.140625" style="31"/>
    <col min="1281" max="1281" width="3.85546875" style="31" customWidth="1"/>
    <col min="1282" max="1282" width="14.7109375" style="31" customWidth="1"/>
    <col min="1283" max="1289" width="10.7109375" style="31" customWidth="1"/>
    <col min="1290" max="1290" width="13.140625" style="31" customWidth="1"/>
    <col min="1291" max="1291" width="10.7109375" style="31" customWidth="1"/>
    <col min="1292" max="1292" width="56.5703125" style="31" customWidth="1"/>
    <col min="1293" max="1536" width="11.140625" style="31"/>
    <col min="1537" max="1537" width="3.85546875" style="31" customWidth="1"/>
    <col min="1538" max="1538" width="14.7109375" style="31" customWidth="1"/>
    <col min="1539" max="1545" width="10.7109375" style="31" customWidth="1"/>
    <col min="1546" max="1546" width="13.140625" style="31" customWidth="1"/>
    <col min="1547" max="1547" width="10.7109375" style="31" customWidth="1"/>
    <col min="1548" max="1548" width="56.5703125" style="31" customWidth="1"/>
    <col min="1549" max="1792" width="11.140625" style="31"/>
    <col min="1793" max="1793" width="3.85546875" style="31" customWidth="1"/>
    <col min="1794" max="1794" width="14.7109375" style="31" customWidth="1"/>
    <col min="1795" max="1801" width="10.7109375" style="31" customWidth="1"/>
    <col min="1802" max="1802" width="13.140625" style="31" customWidth="1"/>
    <col min="1803" max="1803" width="10.7109375" style="31" customWidth="1"/>
    <col min="1804" max="1804" width="56.5703125" style="31" customWidth="1"/>
    <col min="1805" max="2048" width="11.140625" style="31"/>
    <col min="2049" max="2049" width="3.85546875" style="31" customWidth="1"/>
    <col min="2050" max="2050" width="14.7109375" style="31" customWidth="1"/>
    <col min="2051" max="2057" width="10.7109375" style="31" customWidth="1"/>
    <col min="2058" max="2058" width="13.140625" style="31" customWidth="1"/>
    <col min="2059" max="2059" width="10.7109375" style="31" customWidth="1"/>
    <col min="2060" max="2060" width="56.5703125" style="31" customWidth="1"/>
    <col min="2061" max="2304" width="11.140625" style="31"/>
    <col min="2305" max="2305" width="3.85546875" style="31" customWidth="1"/>
    <col min="2306" max="2306" width="14.7109375" style="31" customWidth="1"/>
    <col min="2307" max="2313" width="10.7109375" style="31" customWidth="1"/>
    <col min="2314" max="2314" width="13.140625" style="31" customWidth="1"/>
    <col min="2315" max="2315" width="10.7109375" style="31" customWidth="1"/>
    <col min="2316" max="2316" width="56.5703125" style="31" customWidth="1"/>
    <col min="2317" max="2560" width="11.140625" style="31"/>
    <col min="2561" max="2561" width="3.85546875" style="31" customWidth="1"/>
    <col min="2562" max="2562" width="14.7109375" style="31" customWidth="1"/>
    <col min="2563" max="2569" width="10.7109375" style="31" customWidth="1"/>
    <col min="2570" max="2570" width="13.140625" style="31" customWidth="1"/>
    <col min="2571" max="2571" width="10.7109375" style="31" customWidth="1"/>
    <col min="2572" max="2572" width="56.5703125" style="31" customWidth="1"/>
    <col min="2573" max="2816" width="11.140625" style="31"/>
    <col min="2817" max="2817" width="3.85546875" style="31" customWidth="1"/>
    <col min="2818" max="2818" width="14.7109375" style="31" customWidth="1"/>
    <col min="2819" max="2825" width="10.7109375" style="31" customWidth="1"/>
    <col min="2826" max="2826" width="13.140625" style="31" customWidth="1"/>
    <col min="2827" max="2827" width="10.7109375" style="31" customWidth="1"/>
    <col min="2828" max="2828" width="56.5703125" style="31" customWidth="1"/>
    <col min="2829" max="3072" width="11.140625" style="31"/>
    <col min="3073" max="3073" width="3.85546875" style="31" customWidth="1"/>
    <col min="3074" max="3074" width="14.7109375" style="31" customWidth="1"/>
    <col min="3075" max="3081" width="10.7109375" style="31" customWidth="1"/>
    <col min="3082" max="3082" width="13.140625" style="31" customWidth="1"/>
    <col min="3083" max="3083" width="10.7109375" style="31" customWidth="1"/>
    <col min="3084" max="3084" width="56.5703125" style="31" customWidth="1"/>
    <col min="3085" max="3328" width="11.140625" style="31"/>
    <col min="3329" max="3329" width="3.85546875" style="31" customWidth="1"/>
    <col min="3330" max="3330" width="14.7109375" style="31" customWidth="1"/>
    <col min="3331" max="3337" width="10.7109375" style="31" customWidth="1"/>
    <col min="3338" max="3338" width="13.140625" style="31" customWidth="1"/>
    <col min="3339" max="3339" width="10.7109375" style="31" customWidth="1"/>
    <col min="3340" max="3340" width="56.5703125" style="31" customWidth="1"/>
    <col min="3341" max="3584" width="11.140625" style="31"/>
    <col min="3585" max="3585" width="3.85546875" style="31" customWidth="1"/>
    <col min="3586" max="3586" width="14.7109375" style="31" customWidth="1"/>
    <col min="3587" max="3593" width="10.7109375" style="31" customWidth="1"/>
    <col min="3594" max="3594" width="13.140625" style="31" customWidth="1"/>
    <col min="3595" max="3595" width="10.7109375" style="31" customWidth="1"/>
    <col min="3596" max="3596" width="56.5703125" style="31" customWidth="1"/>
    <col min="3597" max="3840" width="11.140625" style="31"/>
    <col min="3841" max="3841" width="3.85546875" style="31" customWidth="1"/>
    <col min="3842" max="3842" width="14.7109375" style="31" customWidth="1"/>
    <col min="3843" max="3849" width="10.7109375" style="31" customWidth="1"/>
    <col min="3850" max="3850" width="13.140625" style="31" customWidth="1"/>
    <col min="3851" max="3851" width="10.7109375" style="31" customWidth="1"/>
    <col min="3852" max="3852" width="56.5703125" style="31" customWidth="1"/>
    <col min="3853" max="4096" width="11.140625" style="31"/>
    <col min="4097" max="4097" width="3.85546875" style="31" customWidth="1"/>
    <col min="4098" max="4098" width="14.7109375" style="31" customWidth="1"/>
    <col min="4099" max="4105" width="10.7109375" style="31" customWidth="1"/>
    <col min="4106" max="4106" width="13.140625" style="31" customWidth="1"/>
    <col min="4107" max="4107" width="10.7109375" style="31" customWidth="1"/>
    <col min="4108" max="4108" width="56.5703125" style="31" customWidth="1"/>
    <col min="4109" max="4352" width="11.140625" style="31"/>
    <col min="4353" max="4353" width="3.85546875" style="31" customWidth="1"/>
    <col min="4354" max="4354" width="14.7109375" style="31" customWidth="1"/>
    <col min="4355" max="4361" width="10.7109375" style="31" customWidth="1"/>
    <col min="4362" max="4362" width="13.140625" style="31" customWidth="1"/>
    <col min="4363" max="4363" width="10.7109375" style="31" customWidth="1"/>
    <col min="4364" max="4364" width="56.5703125" style="31" customWidth="1"/>
    <col min="4365" max="4608" width="11.140625" style="31"/>
    <col min="4609" max="4609" width="3.85546875" style="31" customWidth="1"/>
    <col min="4610" max="4610" width="14.7109375" style="31" customWidth="1"/>
    <col min="4611" max="4617" width="10.7109375" style="31" customWidth="1"/>
    <col min="4618" max="4618" width="13.140625" style="31" customWidth="1"/>
    <col min="4619" max="4619" width="10.7109375" style="31" customWidth="1"/>
    <col min="4620" max="4620" width="56.5703125" style="31" customWidth="1"/>
    <col min="4621" max="4864" width="11.140625" style="31"/>
    <col min="4865" max="4865" width="3.85546875" style="31" customWidth="1"/>
    <col min="4866" max="4866" width="14.7109375" style="31" customWidth="1"/>
    <col min="4867" max="4873" width="10.7109375" style="31" customWidth="1"/>
    <col min="4874" max="4874" width="13.140625" style="31" customWidth="1"/>
    <col min="4875" max="4875" width="10.7109375" style="31" customWidth="1"/>
    <col min="4876" max="4876" width="56.5703125" style="31" customWidth="1"/>
    <col min="4877" max="5120" width="11.140625" style="31"/>
    <col min="5121" max="5121" width="3.85546875" style="31" customWidth="1"/>
    <col min="5122" max="5122" width="14.7109375" style="31" customWidth="1"/>
    <col min="5123" max="5129" width="10.7109375" style="31" customWidth="1"/>
    <col min="5130" max="5130" width="13.140625" style="31" customWidth="1"/>
    <col min="5131" max="5131" width="10.7109375" style="31" customWidth="1"/>
    <col min="5132" max="5132" width="56.5703125" style="31" customWidth="1"/>
    <col min="5133" max="5376" width="11.140625" style="31"/>
    <col min="5377" max="5377" width="3.85546875" style="31" customWidth="1"/>
    <col min="5378" max="5378" width="14.7109375" style="31" customWidth="1"/>
    <col min="5379" max="5385" width="10.7109375" style="31" customWidth="1"/>
    <col min="5386" max="5386" width="13.140625" style="31" customWidth="1"/>
    <col min="5387" max="5387" width="10.7109375" style="31" customWidth="1"/>
    <col min="5388" max="5388" width="56.5703125" style="31" customWidth="1"/>
    <col min="5389" max="5632" width="11.140625" style="31"/>
    <col min="5633" max="5633" width="3.85546875" style="31" customWidth="1"/>
    <col min="5634" max="5634" width="14.7109375" style="31" customWidth="1"/>
    <col min="5635" max="5641" width="10.7109375" style="31" customWidth="1"/>
    <col min="5642" max="5642" width="13.140625" style="31" customWidth="1"/>
    <col min="5643" max="5643" width="10.7109375" style="31" customWidth="1"/>
    <col min="5644" max="5644" width="56.5703125" style="31" customWidth="1"/>
    <col min="5645" max="5888" width="11.140625" style="31"/>
    <col min="5889" max="5889" width="3.85546875" style="31" customWidth="1"/>
    <col min="5890" max="5890" width="14.7109375" style="31" customWidth="1"/>
    <col min="5891" max="5897" width="10.7109375" style="31" customWidth="1"/>
    <col min="5898" max="5898" width="13.140625" style="31" customWidth="1"/>
    <col min="5899" max="5899" width="10.7109375" style="31" customWidth="1"/>
    <col min="5900" max="5900" width="56.5703125" style="31" customWidth="1"/>
    <col min="5901" max="6144" width="11.140625" style="31"/>
    <col min="6145" max="6145" width="3.85546875" style="31" customWidth="1"/>
    <col min="6146" max="6146" width="14.7109375" style="31" customWidth="1"/>
    <col min="6147" max="6153" width="10.7109375" style="31" customWidth="1"/>
    <col min="6154" max="6154" width="13.140625" style="31" customWidth="1"/>
    <col min="6155" max="6155" width="10.7109375" style="31" customWidth="1"/>
    <col min="6156" max="6156" width="56.5703125" style="31" customWidth="1"/>
    <col min="6157" max="6400" width="11.140625" style="31"/>
    <col min="6401" max="6401" width="3.85546875" style="31" customWidth="1"/>
    <col min="6402" max="6402" width="14.7109375" style="31" customWidth="1"/>
    <col min="6403" max="6409" width="10.7109375" style="31" customWidth="1"/>
    <col min="6410" max="6410" width="13.140625" style="31" customWidth="1"/>
    <col min="6411" max="6411" width="10.7109375" style="31" customWidth="1"/>
    <col min="6412" max="6412" width="56.5703125" style="31" customWidth="1"/>
    <col min="6413" max="6656" width="11.140625" style="31"/>
    <col min="6657" max="6657" width="3.85546875" style="31" customWidth="1"/>
    <col min="6658" max="6658" width="14.7109375" style="31" customWidth="1"/>
    <col min="6659" max="6665" width="10.7109375" style="31" customWidth="1"/>
    <col min="6666" max="6666" width="13.140625" style="31" customWidth="1"/>
    <col min="6667" max="6667" width="10.7109375" style="31" customWidth="1"/>
    <col min="6668" max="6668" width="56.5703125" style="31" customWidth="1"/>
    <col min="6669" max="6912" width="11.140625" style="31"/>
    <col min="6913" max="6913" width="3.85546875" style="31" customWidth="1"/>
    <col min="6914" max="6914" width="14.7109375" style="31" customWidth="1"/>
    <col min="6915" max="6921" width="10.7109375" style="31" customWidth="1"/>
    <col min="6922" max="6922" width="13.140625" style="31" customWidth="1"/>
    <col min="6923" max="6923" width="10.7109375" style="31" customWidth="1"/>
    <col min="6924" max="6924" width="56.5703125" style="31" customWidth="1"/>
    <col min="6925" max="7168" width="11.140625" style="31"/>
    <col min="7169" max="7169" width="3.85546875" style="31" customWidth="1"/>
    <col min="7170" max="7170" width="14.7109375" style="31" customWidth="1"/>
    <col min="7171" max="7177" width="10.7109375" style="31" customWidth="1"/>
    <col min="7178" max="7178" width="13.140625" style="31" customWidth="1"/>
    <col min="7179" max="7179" width="10.7109375" style="31" customWidth="1"/>
    <col min="7180" max="7180" width="56.5703125" style="31" customWidth="1"/>
    <col min="7181" max="7424" width="11.140625" style="31"/>
    <col min="7425" max="7425" width="3.85546875" style="31" customWidth="1"/>
    <col min="7426" max="7426" width="14.7109375" style="31" customWidth="1"/>
    <col min="7427" max="7433" width="10.7109375" style="31" customWidth="1"/>
    <col min="7434" max="7434" width="13.140625" style="31" customWidth="1"/>
    <col min="7435" max="7435" width="10.7109375" style="31" customWidth="1"/>
    <col min="7436" max="7436" width="56.5703125" style="31" customWidth="1"/>
    <col min="7437" max="7680" width="11.140625" style="31"/>
    <col min="7681" max="7681" width="3.85546875" style="31" customWidth="1"/>
    <col min="7682" max="7682" width="14.7109375" style="31" customWidth="1"/>
    <col min="7683" max="7689" width="10.7109375" style="31" customWidth="1"/>
    <col min="7690" max="7690" width="13.140625" style="31" customWidth="1"/>
    <col min="7691" max="7691" width="10.7109375" style="31" customWidth="1"/>
    <col min="7692" max="7692" width="56.5703125" style="31" customWidth="1"/>
    <col min="7693" max="7936" width="11.140625" style="31"/>
    <col min="7937" max="7937" width="3.85546875" style="31" customWidth="1"/>
    <col min="7938" max="7938" width="14.7109375" style="31" customWidth="1"/>
    <col min="7939" max="7945" width="10.7109375" style="31" customWidth="1"/>
    <col min="7946" max="7946" width="13.140625" style="31" customWidth="1"/>
    <col min="7947" max="7947" width="10.7109375" style="31" customWidth="1"/>
    <col min="7948" max="7948" width="56.5703125" style="31" customWidth="1"/>
    <col min="7949" max="8192" width="11.140625" style="31"/>
    <col min="8193" max="8193" width="3.85546875" style="31" customWidth="1"/>
    <col min="8194" max="8194" width="14.7109375" style="31" customWidth="1"/>
    <col min="8195" max="8201" width="10.7109375" style="31" customWidth="1"/>
    <col min="8202" max="8202" width="13.140625" style="31" customWidth="1"/>
    <col min="8203" max="8203" width="10.7109375" style="31" customWidth="1"/>
    <col min="8204" max="8204" width="56.5703125" style="31" customWidth="1"/>
    <col min="8205" max="8448" width="11.140625" style="31"/>
    <col min="8449" max="8449" width="3.85546875" style="31" customWidth="1"/>
    <col min="8450" max="8450" width="14.7109375" style="31" customWidth="1"/>
    <col min="8451" max="8457" width="10.7109375" style="31" customWidth="1"/>
    <col min="8458" max="8458" width="13.140625" style="31" customWidth="1"/>
    <col min="8459" max="8459" width="10.7109375" style="31" customWidth="1"/>
    <col min="8460" max="8460" width="56.5703125" style="31" customWidth="1"/>
    <col min="8461" max="8704" width="11.140625" style="31"/>
    <col min="8705" max="8705" width="3.85546875" style="31" customWidth="1"/>
    <col min="8706" max="8706" width="14.7109375" style="31" customWidth="1"/>
    <col min="8707" max="8713" width="10.7109375" style="31" customWidth="1"/>
    <col min="8714" max="8714" width="13.140625" style="31" customWidth="1"/>
    <col min="8715" max="8715" width="10.7109375" style="31" customWidth="1"/>
    <col min="8716" max="8716" width="56.5703125" style="31" customWidth="1"/>
    <col min="8717" max="8960" width="11.140625" style="31"/>
    <col min="8961" max="8961" width="3.85546875" style="31" customWidth="1"/>
    <col min="8962" max="8962" width="14.7109375" style="31" customWidth="1"/>
    <col min="8963" max="8969" width="10.7109375" style="31" customWidth="1"/>
    <col min="8970" max="8970" width="13.140625" style="31" customWidth="1"/>
    <col min="8971" max="8971" width="10.7109375" style="31" customWidth="1"/>
    <col min="8972" max="8972" width="56.5703125" style="31" customWidth="1"/>
    <col min="8973" max="9216" width="11.140625" style="31"/>
    <col min="9217" max="9217" width="3.85546875" style="31" customWidth="1"/>
    <col min="9218" max="9218" width="14.7109375" style="31" customWidth="1"/>
    <col min="9219" max="9225" width="10.7109375" style="31" customWidth="1"/>
    <col min="9226" max="9226" width="13.140625" style="31" customWidth="1"/>
    <col min="9227" max="9227" width="10.7109375" style="31" customWidth="1"/>
    <col min="9228" max="9228" width="56.5703125" style="31" customWidth="1"/>
    <col min="9229" max="9472" width="11.140625" style="31"/>
    <col min="9473" max="9473" width="3.85546875" style="31" customWidth="1"/>
    <col min="9474" max="9474" width="14.7109375" style="31" customWidth="1"/>
    <col min="9475" max="9481" width="10.7109375" style="31" customWidth="1"/>
    <col min="9482" max="9482" width="13.140625" style="31" customWidth="1"/>
    <col min="9483" max="9483" width="10.7109375" style="31" customWidth="1"/>
    <col min="9484" max="9484" width="56.5703125" style="31" customWidth="1"/>
    <col min="9485" max="9728" width="11.140625" style="31"/>
    <col min="9729" max="9729" width="3.85546875" style="31" customWidth="1"/>
    <col min="9730" max="9730" width="14.7109375" style="31" customWidth="1"/>
    <col min="9731" max="9737" width="10.7109375" style="31" customWidth="1"/>
    <col min="9738" max="9738" width="13.140625" style="31" customWidth="1"/>
    <col min="9739" max="9739" width="10.7109375" style="31" customWidth="1"/>
    <col min="9740" max="9740" width="56.5703125" style="31" customWidth="1"/>
    <col min="9741" max="9984" width="11.140625" style="31"/>
    <col min="9985" max="9985" width="3.85546875" style="31" customWidth="1"/>
    <col min="9986" max="9986" width="14.7109375" style="31" customWidth="1"/>
    <col min="9987" max="9993" width="10.7109375" style="31" customWidth="1"/>
    <col min="9994" max="9994" width="13.140625" style="31" customWidth="1"/>
    <col min="9995" max="9995" width="10.7109375" style="31" customWidth="1"/>
    <col min="9996" max="9996" width="56.5703125" style="31" customWidth="1"/>
    <col min="9997" max="10240" width="11.140625" style="31"/>
    <col min="10241" max="10241" width="3.85546875" style="31" customWidth="1"/>
    <col min="10242" max="10242" width="14.7109375" style="31" customWidth="1"/>
    <col min="10243" max="10249" width="10.7109375" style="31" customWidth="1"/>
    <col min="10250" max="10250" width="13.140625" style="31" customWidth="1"/>
    <col min="10251" max="10251" width="10.7109375" style="31" customWidth="1"/>
    <col min="10252" max="10252" width="56.5703125" style="31" customWidth="1"/>
    <col min="10253" max="10496" width="11.140625" style="31"/>
    <col min="10497" max="10497" width="3.85546875" style="31" customWidth="1"/>
    <col min="10498" max="10498" width="14.7109375" style="31" customWidth="1"/>
    <col min="10499" max="10505" width="10.7109375" style="31" customWidth="1"/>
    <col min="10506" max="10506" width="13.140625" style="31" customWidth="1"/>
    <col min="10507" max="10507" width="10.7109375" style="31" customWidth="1"/>
    <col min="10508" max="10508" width="56.5703125" style="31" customWidth="1"/>
    <col min="10509" max="10752" width="11.140625" style="31"/>
    <col min="10753" max="10753" width="3.85546875" style="31" customWidth="1"/>
    <col min="10754" max="10754" width="14.7109375" style="31" customWidth="1"/>
    <col min="10755" max="10761" width="10.7109375" style="31" customWidth="1"/>
    <col min="10762" max="10762" width="13.140625" style="31" customWidth="1"/>
    <col min="10763" max="10763" width="10.7109375" style="31" customWidth="1"/>
    <col min="10764" max="10764" width="56.5703125" style="31" customWidth="1"/>
    <col min="10765" max="11008" width="11.140625" style="31"/>
    <col min="11009" max="11009" width="3.85546875" style="31" customWidth="1"/>
    <col min="11010" max="11010" width="14.7109375" style="31" customWidth="1"/>
    <col min="11011" max="11017" width="10.7109375" style="31" customWidth="1"/>
    <col min="11018" max="11018" width="13.140625" style="31" customWidth="1"/>
    <col min="11019" max="11019" width="10.7109375" style="31" customWidth="1"/>
    <col min="11020" max="11020" width="56.5703125" style="31" customWidth="1"/>
    <col min="11021" max="11264" width="11.140625" style="31"/>
    <col min="11265" max="11265" width="3.85546875" style="31" customWidth="1"/>
    <col min="11266" max="11266" width="14.7109375" style="31" customWidth="1"/>
    <col min="11267" max="11273" width="10.7109375" style="31" customWidth="1"/>
    <col min="11274" max="11274" width="13.140625" style="31" customWidth="1"/>
    <col min="11275" max="11275" width="10.7109375" style="31" customWidth="1"/>
    <col min="11276" max="11276" width="56.5703125" style="31" customWidth="1"/>
    <col min="11277" max="11520" width="11.140625" style="31"/>
    <col min="11521" max="11521" width="3.85546875" style="31" customWidth="1"/>
    <col min="11522" max="11522" width="14.7109375" style="31" customWidth="1"/>
    <col min="11523" max="11529" width="10.7109375" style="31" customWidth="1"/>
    <col min="11530" max="11530" width="13.140625" style="31" customWidth="1"/>
    <col min="11531" max="11531" width="10.7109375" style="31" customWidth="1"/>
    <col min="11532" max="11532" width="56.5703125" style="31" customWidth="1"/>
    <col min="11533" max="11776" width="11.140625" style="31"/>
    <col min="11777" max="11777" width="3.85546875" style="31" customWidth="1"/>
    <col min="11778" max="11778" width="14.7109375" style="31" customWidth="1"/>
    <col min="11779" max="11785" width="10.7109375" style="31" customWidth="1"/>
    <col min="11786" max="11786" width="13.140625" style="31" customWidth="1"/>
    <col min="11787" max="11787" width="10.7109375" style="31" customWidth="1"/>
    <col min="11788" max="11788" width="56.5703125" style="31" customWidth="1"/>
    <col min="11789" max="12032" width="11.140625" style="31"/>
    <col min="12033" max="12033" width="3.85546875" style="31" customWidth="1"/>
    <col min="12034" max="12034" width="14.7109375" style="31" customWidth="1"/>
    <col min="12035" max="12041" width="10.7109375" style="31" customWidth="1"/>
    <col min="12042" max="12042" width="13.140625" style="31" customWidth="1"/>
    <col min="12043" max="12043" width="10.7109375" style="31" customWidth="1"/>
    <col min="12044" max="12044" width="56.5703125" style="31" customWidth="1"/>
    <col min="12045" max="12288" width="11.140625" style="31"/>
    <col min="12289" max="12289" width="3.85546875" style="31" customWidth="1"/>
    <col min="12290" max="12290" width="14.7109375" style="31" customWidth="1"/>
    <col min="12291" max="12297" width="10.7109375" style="31" customWidth="1"/>
    <col min="12298" max="12298" width="13.140625" style="31" customWidth="1"/>
    <col min="12299" max="12299" width="10.7109375" style="31" customWidth="1"/>
    <col min="12300" max="12300" width="56.5703125" style="31" customWidth="1"/>
    <col min="12301" max="12544" width="11.140625" style="31"/>
    <col min="12545" max="12545" width="3.85546875" style="31" customWidth="1"/>
    <col min="12546" max="12546" width="14.7109375" style="31" customWidth="1"/>
    <col min="12547" max="12553" width="10.7109375" style="31" customWidth="1"/>
    <col min="12554" max="12554" width="13.140625" style="31" customWidth="1"/>
    <col min="12555" max="12555" width="10.7109375" style="31" customWidth="1"/>
    <col min="12556" max="12556" width="56.5703125" style="31" customWidth="1"/>
    <col min="12557" max="12800" width="11.140625" style="31"/>
    <col min="12801" max="12801" width="3.85546875" style="31" customWidth="1"/>
    <col min="12802" max="12802" width="14.7109375" style="31" customWidth="1"/>
    <col min="12803" max="12809" width="10.7109375" style="31" customWidth="1"/>
    <col min="12810" max="12810" width="13.140625" style="31" customWidth="1"/>
    <col min="12811" max="12811" width="10.7109375" style="31" customWidth="1"/>
    <col min="12812" max="12812" width="56.5703125" style="31" customWidth="1"/>
    <col min="12813" max="13056" width="11.140625" style="31"/>
    <col min="13057" max="13057" width="3.85546875" style="31" customWidth="1"/>
    <col min="13058" max="13058" width="14.7109375" style="31" customWidth="1"/>
    <col min="13059" max="13065" width="10.7109375" style="31" customWidth="1"/>
    <col min="13066" max="13066" width="13.140625" style="31" customWidth="1"/>
    <col min="13067" max="13067" width="10.7109375" style="31" customWidth="1"/>
    <col min="13068" max="13068" width="56.5703125" style="31" customWidth="1"/>
    <col min="13069" max="13312" width="11.140625" style="31"/>
    <col min="13313" max="13313" width="3.85546875" style="31" customWidth="1"/>
    <col min="13314" max="13314" width="14.7109375" style="31" customWidth="1"/>
    <col min="13315" max="13321" width="10.7109375" style="31" customWidth="1"/>
    <col min="13322" max="13322" width="13.140625" style="31" customWidth="1"/>
    <col min="13323" max="13323" width="10.7109375" style="31" customWidth="1"/>
    <col min="13324" max="13324" width="56.5703125" style="31" customWidth="1"/>
    <col min="13325" max="13568" width="11.140625" style="31"/>
    <col min="13569" max="13569" width="3.85546875" style="31" customWidth="1"/>
    <col min="13570" max="13570" width="14.7109375" style="31" customWidth="1"/>
    <col min="13571" max="13577" width="10.7109375" style="31" customWidth="1"/>
    <col min="13578" max="13578" width="13.140625" style="31" customWidth="1"/>
    <col min="13579" max="13579" width="10.7109375" style="31" customWidth="1"/>
    <col min="13580" max="13580" width="56.5703125" style="31" customWidth="1"/>
    <col min="13581" max="13824" width="11.140625" style="31"/>
    <col min="13825" max="13825" width="3.85546875" style="31" customWidth="1"/>
    <col min="13826" max="13826" width="14.7109375" style="31" customWidth="1"/>
    <col min="13827" max="13833" width="10.7109375" style="31" customWidth="1"/>
    <col min="13834" max="13834" width="13.140625" style="31" customWidth="1"/>
    <col min="13835" max="13835" width="10.7109375" style="31" customWidth="1"/>
    <col min="13836" max="13836" width="56.5703125" style="31" customWidth="1"/>
    <col min="13837" max="14080" width="11.140625" style="31"/>
    <col min="14081" max="14081" width="3.85546875" style="31" customWidth="1"/>
    <col min="14082" max="14082" width="14.7109375" style="31" customWidth="1"/>
    <col min="14083" max="14089" width="10.7109375" style="31" customWidth="1"/>
    <col min="14090" max="14090" width="13.140625" style="31" customWidth="1"/>
    <col min="14091" max="14091" width="10.7109375" style="31" customWidth="1"/>
    <col min="14092" max="14092" width="56.5703125" style="31" customWidth="1"/>
    <col min="14093" max="14336" width="11.140625" style="31"/>
    <col min="14337" max="14337" width="3.85546875" style="31" customWidth="1"/>
    <col min="14338" max="14338" width="14.7109375" style="31" customWidth="1"/>
    <col min="14339" max="14345" width="10.7109375" style="31" customWidth="1"/>
    <col min="14346" max="14346" width="13.140625" style="31" customWidth="1"/>
    <col min="14347" max="14347" width="10.7109375" style="31" customWidth="1"/>
    <col min="14348" max="14348" width="56.5703125" style="31" customWidth="1"/>
    <col min="14349" max="14592" width="11.140625" style="31"/>
    <col min="14593" max="14593" width="3.85546875" style="31" customWidth="1"/>
    <col min="14594" max="14594" width="14.7109375" style="31" customWidth="1"/>
    <col min="14595" max="14601" width="10.7109375" style="31" customWidth="1"/>
    <col min="14602" max="14602" width="13.140625" style="31" customWidth="1"/>
    <col min="14603" max="14603" width="10.7109375" style="31" customWidth="1"/>
    <col min="14604" max="14604" width="56.5703125" style="31" customWidth="1"/>
    <col min="14605" max="14848" width="11.140625" style="31"/>
    <col min="14849" max="14849" width="3.85546875" style="31" customWidth="1"/>
    <col min="14850" max="14850" width="14.7109375" style="31" customWidth="1"/>
    <col min="14851" max="14857" width="10.7109375" style="31" customWidth="1"/>
    <col min="14858" max="14858" width="13.140625" style="31" customWidth="1"/>
    <col min="14859" max="14859" width="10.7109375" style="31" customWidth="1"/>
    <col min="14860" max="14860" width="56.5703125" style="31" customWidth="1"/>
    <col min="14861" max="15104" width="11.140625" style="31"/>
    <col min="15105" max="15105" width="3.85546875" style="31" customWidth="1"/>
    <col min="15106" max="15106" width="14.7109375" style="31" customWidth="1"/>
    <col min="15107" max="15113" width="10.7109375" style="31" customWidth="1"/>
    <col min="15114" max="15114" width="13.140625" style="31" customWidth="1"/>
    <col min="15115" max="15115" width="10.7109375" style="31" customWidth="1"/>
    <col min="15116" max="15116" width="56.5703125" style="31" customWidth="1"/>
    <col min="15117" max="15360" width="11.140625" style="31"/>
    <col min="15361" max="15361" width="3.85546875" style="31" customWidth="1"/>
    <col min="15362" max="15362" width="14.7109375" style="31" customWidth="1"/>
    <col min="15363" max="15369" width="10.7109375" style="31" customWidth="1"/>
    <col min="15370" max="15370" width="13.140625" style="31" customWidth="1"/>
    <col min="15371" max="15371" width="10.7109375" style="31" customWidth="1"/>
    <col min="15372" max="15372" width="56.5703125" style="31" customWidth="1"/>
    <col min="15373" max="15616" width="11.140625" style="31"/>
    <col min="15617" max="15617" width="3.85546875" style="31" customWidth="1"/>
    <col min="15618" max="15618" width="14.7109375" style="31" customWidth="1"/>
    <col min="15619" max="15625" width="10.7109375" style="31" customWidth="1"/>
    <col min="15626" max="15626" width="13.140625" style="31" customWidth="1"/>
    <col min="15627" max="15627" width="10.7109375" style="31" customWidth="1"/>
    <col min="15628" max="15628" width="56.5703125" style="31" customWidth="1"/>
    <col min="15629" max="15872" width="11.140625" style="31"/>
    <col min="15873" max="15873" width="3.85546875" style="31" customWidth="1"/>
    <col min="15874" max="15874" width="14.7109375" style="31" customWidth="1"/>
    <col min="15875" max="15881" width="10.7109375" style="31" customWidth="1"/>
    <col min="15882" max="15882" width="13.140625" style="31" customWidth="1"/>
    <col min="15883" max="15883" width="10.7109375" style="31" customWidth="1"/>
    <col min="15884" max="15884" width="56.5703125" style="31" customWidth="1"/>
    <col min="15885" max="16128" width="11.140625" style="31"/>
    <col min="16129" max="16129" width="3.85546875" style="31" customWidth="1"/>
    <col min="16130" max="16130" width="14.7109375" style="31" customWidth="1"/>
    <col min="16131" max="16137" width="10.7109375" style="31" customWidth="1"/>
    <col min="16138" max="16138" width="13.140625" style="31" customWidth="1"/>
    <col min="16139" max="16139" width="10.7109375" style="31" customWidth="1"/>
    <col min="16140" max="16140" width="56.5703125" style="31" customWidth="1"/>
    <col min="16141" max="16384" width="11.140625" style="31"/>
  </cols>
  <sheetData>
    <row r="1" spans="1:17" s="261" customFormat="1">
      <c r="A1" s="260" t="s">
        <v>140</v>
      </c>
    </row>
    <row r="2" spans="1:17" s="261" customFormat="1"/>
    <row r="3" spans="1:17" s="262" customFormat="1">
      <c r="A3" s="262" t="s">
        <v>141</v>
      </c>
    </row>
    <row r="4" spans="1:17" s="262" customFormat="1">
      <c r="A4" s="262" t="s">
        <v>142</v>
      </c>
    </row>
    <row r="5" spans="1:17" ht="21" thickBot="1">
      <c r="A5" s="27" t="s">
        <v>0</v>
      </c>
      <c r="B5" s="28"/>
      <c r="C5" s="27"/>
      <c r="D5" s="27"/>
      <c r="E5" s="27"/>
      <c r="F5" s="27"/>
      <c r="G5" s="27"/>
      <c r="H5" s="27"/>
      <c r="I5" s="27"/>
      <c r="J5" s="27"/>
      <c r="K5" s="27"/>
      <c r="L5" s="29" t="s">
        <v>1</v>
      </c>
      <c r="M5" s="30" t="s">
        <v>2</v>
      </c>
      <c r="N5" s="30"/>
      <c r="O5" s="30"/>
      <c r="P5" s="30"/>
      <c r="Q5" s="30"/>
    </row>
    <row r="6" spans="1:17" ht="30.75" customHeight="1" thickTop="1" thickBot="1">
      <c r="A6" s="32"/>
      <c r="B6" s="33" t="s">
        <v>3</v>
      </c>
      <c r="C6" s="2"/>
      <c r="D6" s="34"/>
      <c r="E6" s="34"/>
      <c r="F6" s="35"/>
      <c r="G6" s="297"/>
      <c r="H6" s="298"/>
      <c r="I6" s="301"/>
      <c r="J6" s="302"/>
      <c r="K6" s="303"/>
      <c r="L6" s="36" t="s">
        <v>4</v>
      </c>
      <c r="M6" s="30">
        <v>433.33333333333331</v>
      </c>
      <c r="N6" s="30"/>
      <c r="O6" s="30"/>
      <c r="P6" s="30"/>
      <c r="Q6" s="30"/>
    </row>
    <row r="7" spans="1:17" ht="18.75" thickTop="1">
      <c r="A7" s="27"/>
      <c r="B7" s="37" t="s">
        <v>5</v>
      </c>
      <c r="C7" s="3"/>
      <c r="D7" s="38"/>
      <c r="E7" s="39"/>
      <c r="F7" s="40"/>
      <c r="G7" s="299"/>
      <c r="H7" s="300"/>
      <c r="I7" s="41" t="s">
        <v>6</v>
      </c>
      <c r="J7" s="42" t="s">
        <v>7</v>
      </c>
      <c r="K7" s="43" t="s">
        <v>8</v>
      </c>
      <c r="L7" s="44" t="s">
        <v>9</v>
      </c>
      <c r="M7" s="30">
        <v>1126</v>
      </c>
      <c r="N7" s="30"/>
      <c r="O7" s="45" t="s">
        <v>10</v>
      </c>
      <c r="P7" s="46">
        <v>48473.278255049758</v>
      </c>
      <c r="Q7" s="47">
        <v>46768.423968777795</v>
      </c>
    </row>
    <row r="8" spans="1:17" ht="19.5" customHeight="1">
      <c r="A8" s="27"/>
      <c r="B8" s="37" t="s">
        <v>11</v>
      </c>
      <c r="C8" s="4"/>
      <c r="D8" s="39"/>
      <c r="E8" s="39"/>
      <c r="F8" s="40"/>
      <c r="G8" s="304" t="s">
        <v>12</v>
      </c>
      <c r="H8" s="305"/>
      <c r="I8" s="5"/>
      <c r="J8" s="6">
        <f ca="1">TODAY()</f>
        <v>43070</v>
      </c>
      <c r="K8" s="7"/>
      <c r="L8" s="36" t="s">
        <v>13</v>
      </c>
      <c r="M8" s="30"/>
      <c r="N8" s="30"/>
      <c r="O8" s="45" t="s">
        <v>14</v>
      </c>
      <c r="P8" s="47">
        <v>435</v>
      </c>
      <c r="Q8" s="47">
        <v>420</v>
      </c>
    </row>
    <row r="9" spans="1:17" ht="19.5" customHeight="1">
      <c r="A9" s="27"/>
      <c r="B9" s="48"/>
      <c r="C9" s="41"/>
      <c r="D9" s="49"/>
      <c r="E9" s="50"/>
      <c r="F9" s="51"/>
      <c r="G9" s="304"/>
      <c r="H9" s="305"/>
      <c r="I9" s="41" t="s">
        <v>15</v>
      </c>
      <c r="J9" s="52" t="s">
        <v>16</v>
      </c>
      <c r="K9" s="43" t="s">
        <v>17</v>
      </c>
      <c r="L9" s="306" t="s">
        <v>18</v>
      </c>
      <c r="M9" s="30">
        <v>650</v>
      </c>
      <c r="N9" s="30"/>
      <c r="O9" s="30"/>
      <c r="P9" s="30"/>
      <c r="Q9" s="30"/>
    </row>
    <row r="10" spans="1:17" ht="20.25" customHeight="1" thickBot="1">
      <c r="A10" s="27"/>
      <c r="B10" s="53"/>
      <c r="C10" s="54"/>
      <c r="D10" s="54"/>
      <c r="E10" s="55"/>
      <c r="F10" s="56"/>
      <c r="G10" s="56"/>
      <c r="H10" s="57"/>
      <c r="I10" s="8" t="str">
        <f>[1]DOUBLE!I6</f>
        <v>-</v>
      </c>
      <c r="J10" s="9" t="s">
        <v>19</v>
      </c>
      <c r="K10" s="10"/>
      <c r="L10" s="307"/>
      <c r="M10" s="30">
        <v>650</v>
      </c>
      <c r="N10" s="30"/>
      <c r="O10" s="30"/>
      <c r="P10" s="30"/>
      <c r="Q10" s="30"/>
    </row>
    <row r="11" spans="1:17" ht="20.25" customHeight="1" thickTop="1">
      <c r="A11" s="58"/>
      <c r="B11" s="59"/>
      <c r="C11" s="60"/>
      <c r="F11" s="61"/>
      <c r="G11" s="61"/>
      <c r="H11" s="61"/>
      <c r="I11" s="61"/>
      <c r="J11" s="61"/>
      <c r="K11" s="62"/>
      <c r="L11" s="63"/>
      <c r="M11" s="30"/>
      <c r="N11" s="30"/>
      <c r="O11" s="30"/>
      <c r="P11" s="30"/>
      <c r="Q11" s="30"/>
    </row>
    <row r="12" spans="1:17" ht="18">
      <c r="A12" s="58"/>
      <c r="B12" s="64" t="s">
        <v>20</v>
      </c>
      <c r="C12" s="65"/>
      <c r="D12" s="308" t="s">
        <v>21</v>
      </c>
      <c r="E12" s="308"/>
      <c r="F12" s="61"/>
      <c r="G12" s="61"/>
      <c r="H12" s="61"/>
      <c r="I12" s="61"/>
      <c r="J12" s="66"/>
      <c r="K12" s="62"/>
      <c r="L12" s="17" t="s">
        <v>143</v>
      </c>
      <c r="M12" s="30">
        <v>200</v>
      </c>
      <c r="N12" s="30"/>
      <c r="O12" s="30"/>
      <c r="P12" s="30"/>
      <c r="Q12" s="30"/>
    </row>
    <row r="13" spans="1:17" ht="18">
      <c r="A13" s="58"/>
      <c r="B13" s="309" t="s">
        <v>22</v>
      </c>
      <c r="C13" s="308"/>
      <c r="D13" s="67" t="s">
        <v>23</v>
      </c>
      <c r="E13" s="11">
        <v>350</v>
      </c>
      <c r="F13" s="61"/>
      <c r="G13" s="61"/>
      <c r="H13" s="61"/>
      <c r="I13" s="61"/>
      <c r="J13" s="61"/>
      <c r="K13" s="62"/>
      <c r="L13" s="18" t="s">
        <v>144</v>
      </c>
      <c r="M13" s="30"/>
      <c r="N13" s="30"/>
      <c r="O13" s="30"/>
      <c r="P13" s="30"/>
      <c r="Q13" s="30"/>
    </row>
    <row r="14" spans="1:17" ht="18.75">
      <c r="A14" s="58"/>
      <c r="B14" s="68" t="s">
        <v>24</v>
      </c>
      <c r="C14" s="11">
        <v>300</v>
      </c>
      <c r="D14" s="67" t="s">
        <v>25</v>
      </c>
      <c r="E14" s="11">
        <v>1300</v>
      </c>
      <c r="F14" s="61"/>
      <c r="G14" s="61"/>
      <c r="H14" s="61"/>
      <c r="I14" s="61"/>
      <c r="J14" s="61"/>
      <c r="K14" s="69"/>
      <c r="L14" s="19" t="s">
        <v>145</v>
      </c>
      <c r="M14" s="30"/>
      <c r="N14" s="30"/>
      <c r="O14" s="30"/>
      <c r="P14" s="30"/>
      <c r="Q14" s="30"/>
    </row>
    <row r="15" spans="1:17" ht="20.25">
      <c r="A15" s="58"/>
      <c r="B15" s="70" t="s">
        <v>26</v>
      </c>
      <c r="C15" s="11">
        <v>400</v>
      </c>
      <c r="D15" s="67" t="s">
        <v>27</v>
      </c>
      <c r="E15" s="11">
        <f>E14</f>
        <v>1300</v>
      </c>
      <c r="F15" s="71"/>
      <c r="G15" s="71"/>
      <c r="H15" s="72"/>
      <c r="I15" s="61"/>
      <c r="J15" s="61"/>
      <c r="K15" s="69"/>
      <c r="L15" s="20" t="s">
        <v>140</v>
      </c>
      <c r="M15" s="30"/>
      <c r="N15" s="30"/>
      <c r="O15" s="30"/>
      <c r="P15" s="30"/>
      <c r="Q15" s="30"/>
    </row>
    <row r="16" spans="1:17" ht="18">
      <c r="A16" s="58"/>
      <c r="B16" s="73"/>
      <c r="C16" s="61"/>
      <c r="D16" s="67" t="s">
        <v>28</v>
      </c>
      <c r="E16" s="11">
        <f>M9</f>
        <v>650</v>
      </c>
      <c r="F16" s="61"/>
      <c r="G16" s="61"/>
      <c r="H16" s="61"/>
      <c r="I16" s="61"/>
      <c r="J16" s="61"/>
      <c r="K16" s="62"/>
      <c r="L16" s="21" t="s">
        <v>141</v>
      </c>
      <c r="M16" s="30"/>
      <c r="N16" s="30"/>
      <c r="O16" s="30"/>
      <c r="P16" s="30"/>
      <c r="Q16" s="30"/>
    </row>
    <row r="17" spans="1:19" ht="18">
      <c r="A17" s="58"/>
      <c r="B17" s="74" t="s">
        <v>29</v>
      </c>
      <c r="C17" s="65">
        <f>[1]DOUBLE!C17</f>
        <v>375</v>
      </c>
      <c r="D17" s="67" t="s">
        <v>30</v>
      </c>
      <c r="E17" s="11">
        <f>M10</f>
        <v>650</v>
      </c>
      <c r="F17" s="61"/>
      <c r="G17" s="61"/>
      <c r="H17" s="61"/>
      <c r="I17" s="61"/>
      <c r="J17" s="61"/>
      <c r="K17" s="62"/>
      <c r="L17" s="75"/>
      <c r="M17" s="30"/>
      <c r="N17" s="30"/>
      <c r="O17" s="30"/>
      <c r="P17" s="30"/>
      <c r="Q17" s="30"/>
    </row>
    <row r="18" spans="1:19" ht="18">
      <c r="A18" s="58"/>
      <c r="B18" s="73"/>
      <c r="C18" s="61"/>
      <c r="D18" s="76" t="s">
        <v>31</v>
      </c>
      <c r="E18" s="11">
        <v>450</v>
      </c>
      <c r="F18" s="61"/>
      <c r="G18" s="61"/>
      <c r="H18" s="61"/>
      <c r="I18" s="61"/>
      <c r="J18" s="61"/>
      <c r="K18" s="62"/>
      <c r="L18" s="75"/>
      <c r="M18" s="30">
        <v>1453.4441853748633</v>
      </c>
      <c r="N18" s="30"/>
      <c r="O18" s="30"/>
      <c r="P18" s="30"/>
      <c r="Q18" s="30"/>
    </row>
    <row r="19" spans="1:19" ht="18.75" customHeight="1">
      <c r="A19" s="58"/>
      <c r="B19" s="73"/>
      <c r="F19" s="77"/>
      <c r="K19" s="62"/>
      <c r="L19" s="75"/>
      <c r="M19" s="30"/>
      <c r="N19" s="288" t="s">
        <v>32</v>
      </c>
      <c r="O19" s="289"/>
      <c r="P19" s="289"/>
      <c r="Q19" s="290"/>
    </row>
    <row r="20" spans="1:19" ht="18.75" customHeight="1">
      <c r="A20" s="58"/>
      <c r="B20" s="78" t="s">
        <v>33</v>
      </c>
      <c r="C20" s="61"/>
      <c r="D20" s="65"/>
      <c r="E20" s="61"/>
      <c r="F20" s="77"/>
      <c r="G20" s="79" t="s">
        <v>34</v>
      </c>
      <c r="H20" s="61"/>
      <c r="I20" s="80"/>
      <c r="J20" s="291" t="s">
        <v>35</v>
      </c>
      <c r="K20" s="292"/>
      <c r="L20" s="75"/>
      <c r="M20" s="45" t="s">
        <v>36</v>
      </c>
      <c r="N20" s="81">
        <v>13</v>
      </c>
      <c r="O20" s="82">
        <v>15</v>
      </c>
      <c r="P20" s="82" t="s">
        <v>37</v>
      </c>
      <c r="Q20" s="83" t="s">
        <v>38</v>
      </c>
    </row>
    <row r="21" spans="1:19" ht="18">
      <c r="A21" s="58"/>
      <c r="B21" s="84"/>
      <c r="C21" s="85" t="s">
        <v>39</v>
      </c>
      <c r="D21" s="85" t="s">
        <v>40</v>
      </c>
      <c r="E21" s="85" t="s">
        <v>41</v>
      </c>
      <c r="F21" s="61"/>
      <c r="H21" s="61"/>
      <c r="I21" s="77"/>
      <c r="K21" s="62"/>
      <c r="L21" s="63" t="str">
        <f>IF(M18&lt;C18,"PILE c/c LESS THAN MIN SPACING",".")</f>
        <v>.</v>
      </c>
      <c r="M21" s="45" t="s">
        <v>42</v>
      </c>
      <c r="N21" s="86">
        <v>14</v>
      </c>
      <c r="O21" s="87">
        <v>16</v>
      </c>
      <c r="P21" s="87" t="s">
        <v>43</v>
      </c>
      <c r="Q21" s="88" t="s">
        <v>44</v>
      </c>
    </row>
    <row r="22" spans="1:19" ht="19.5" customHeight="1">
      <c r="A22" s="58"/>
      <c r="B22" s="74" t="s">
        <v>45</v>
      </c>
      <c r="C22" s="12">
        <v>475</v>
      </c>
      <c r="D22" s="12">
        <v>157</v>
      </c>
      <c r="E22" s="12">
        <v>13.6</v>
      </c>
      <c r="F22" s="61"/>
      <c r="G22" s="89" t="s">
        <v>46</v>
      </c>
      <c r="H22" s="293" t="str">
        <f>IF(M35=0,"VALID DESIGN",IF(AND(M30=1,M35=1),N30,"FAILS ON "&amp;N29&amp;N31&amp;N32&amp;N34&amp;N30))</f>
        <v>VALID DESIGN</v>
      </c>
      <c r="I22" s="293"/>
      <c r="J22" s="293"/>
      <c r="K22" s="294"/>
      <c r="L22" s="90" t="str">
        <f>"Recommened min H = "&amp;CEILING(SQRT((MAX(E16,E14-E16)-C14/4)^2+(MAX(E17,E15-E17)-C15/4)^2)/2.5+[1]DOUBLE!G10+16,25)&amp;" mm"</f>
        <v>Recommened min H = 425 mm</v>
      </c>
      <c r="M22" s="45" t="s">
        <v>47</v>
      </c>
      <c r="N22" s="91">
        <v>0</v>
      </c>
      <c r="O22" s="92">
        <v>17</v>
      </c>
      <c r="P22" s="92" t="s">
        <v>48</v>
      </c>
      <c r="Q22" s="93" t="s">
        <v>49</v>
      </c>
    </row>
    <row r="23" spans="1:19" ht="18">
      <c r="A23" s="58"/>
      <c r="B23" s="74" t="s">
        <v>50</v>
      </c>
      <c r="C23" s="13">
        <v>10</v>
      </c>
      <c r="D23" s="13">
        <v>5</v>
      </c>
      <c r="E23" s="13">
        <v>2</v>
      </c>
      <c r="F23" s="94"/>
      <c r="G23" s="61"/>
      <c r="H23" s="293"/>
      <c r="I23" s="293"/>
      <c r="J23" s="293"/>
      <c r="K23" s="294"/>
      <c r="L23" s="95" t="s">
        <v>51</v>
      </c>
      <c r="M23" s="45"/>
      <c r="N23" s="87"/>
      <c r="O23" s="87"/>
      <c r="P23" s="87"/>
      <c r="Q23" s="87"/>
    </row>
    <row r="24" spans="1:19" ht="18">
      <c r="A24" s="58"/>
      <c r="B24" s="74" t="s">
        <v>52</v>
      </c>
      <c r="C24" s="14">
        <v>20</v>
      </c>
      <c r="D24" s="14">
        <v>10</v>
      </c>
      <c r="E24" s="14">
        <v>5</v>
      </c>
      <c r="F24" s="94"/>
      <c r="G24" s="72" t="s">
        <v>53</v>
      </c>
      <c r="H24" s="61"/>
      <c r="I24" s="61"/>
      <c r="J24" s="61"/>
      <c r="K24" s="62"/>
      <c r="L24" s="75"/>
      <c r="M24" s="30"/>
      <c r="N24" s="30"/>
      <c r="O24" s="30"/>
      <c r="P24" s="30"/>
      <c r="Q24" s="30"/>
    </row>
    <row r="25" spans="1:19" ht="18">
      <c r="A25" s="58"/>
      <c r="B25" s="96" t="s">
        <v>54</v>
      </c>
      <c r="C25" s="14">
        <v>1</v>
      </c>
      <c r="D25" s="14">
        <v>0.5</v>
      </c>
      <c r="E25" s="14">
        <v>0.2</v>
      </c>
      <c r="F25" s="94"/>
      <c r="G25" s="97"/>
      <c r="H25" s="85" t="s">
        <v>55</v>
      </c>
      <c r="I25" s="85" t="s">
        <v>56</v>
      </c>
      <c r="J25" s="85" t="s">
        <v>57</v>
      </c>
      <c r="K25" s="98" t="s">
        <v>58</v>
      </c>
      <c r="L25" s="95" t="s">
        <v>59</v>
      </c>
      <c r="M25" s="30"/>
      <c r="N25" s="30"/>
      <c r="O25" s="30"/>
      <c r="P25" s="30"/>
      <c r="Q25" s="30"/>
    </row>
    <row r="26" spans="1:19" ht="18">
      <c r="A26" s="58"/>
      <c r="B26" s="96" t="s">
        <v>60</v>
      </c>
      <c r="C26" s="15">
        <v>2</v>
      </c>
      <c r="D26" s="15">
        <v>1</v>
      </c>
      <c r="E26" s="15">
        <v>0.5</v>
      </c>
      <c r="F26" s="94"/>
      <c r="G26" s="67" t="s">
        <v>61</v>
      </c>
      <c r="H26" s="99">
        <f t="shared" ref="H26:K27" si="0">C56</f>
        <v>150.53346153846152</v>
      </c>
      <c r="I26" s="100">
        <f t="shared" si="0"/>
        <v>162.59115384615384</v>
      </c>
      <c r="J26" s="100">
        <f t="shared" si="0"/>
        <v>174.64884615384616</v>
      </c>
      <c r="K26" s="101">
        <f t="shared" si="0"/>
        <v>186.70653846153849</v>
      </c>
      <c r="L26" s="95"/>
      <c r="M26" s="30"/>
      <c r="N26" s="30"/>
      <c r="O26" s="30"/>
      <c r="P26" s="30"/>
      <c r="Q26" s="30"/>
    </row>
    <row r="27" spans="1:19" ht="18">
      <c r="A27" s="58"/>
      <c r="B27" s="74"/>
      <c r="C27" s="16"/>
      <c r="D27" s="16"/>
      <c r="E27" s="16"/>
      <c r="F27" s="94"/>
      <c r="G27" s="74" t="s">
        <v>62</v>
      </c>
      <c r="H27" s="102">
        <f t="shared" si="0"/>
        <v>151.11999999999998</v>
      </c>
      <c r="I27" s="103">
        <f t="shared" si="0"/>
        <v>164.78538461538463</v>
      </c>
      <c r="J27" s="103">
        <f t="shared" si="0"/>
        <v>179.25461538461539</v>
      </c>
      <c r="K27" s="104">
        <f t="shared" si="0"/>
        <v>192.92000000000004</v>
      </c>
      <c r="L27" s="95" t="s">
        <v>63</v>
      </c>
      <c r="M27" s="30"/>
      <c r="N27" s="30"/>
      <c r="O27" s="30"/>
      <c r="P27" s="30"/>
      <c r="Q27" s="30"/>
    </row>
    <row r="28" spans="1:19" ht="18">
      <c r="A28" s="58"/>
      <c r="B28" s="64" t="s">
        <v>64</v>
      </c>
      <c r="C28" s="61"/>
      <c r="D28" s="61"/>
      <c r="E28" s="61"/>
      <c r="F28" s="61"/>
      <c r="K28" s="62"/>
      <c r="L28" s="95" t="s">
        <v>65</v>
      </c>
      <c r="M28" s="105">
        <v>0</v>
      </c>
      <c r="N28" s="105"/>
      <c r="O28" s="30"/>
      <c r="P28" s="30"/>
      <c r="Q28" s="30"/>
    </row>
    <row r="29" spans="1:19" ht="18">
      <c r="A29" s="58"/>
      <c r="B29" s="106" t="s">
        <v>66</v>
      </c>
      <c r="C29" s="107" t="str">
        <f>"M = "&amp;FIXED(C71,1)&amp;" kNm,    b = "&amp;FIXED(C72,0)&amp;" mm"</f>
        <v>M = 237.9 kNm,    b = 2,000 mm</v>
      </c>
      <c r="F29" s="61"/>
      <c r="G29" s="108"/>
      <c r="H29" s="108"/>
      <c r="I29" s="108"/>
      <c r="J29" s="108"/>
      <c r="K29" s="62"/>
      <c r="L29" s="109" t="str">
        <f>IF(M28+M29&gt;0,"PILE CAPACITY EXCEEDED",".")</f>
        <v>.</v>
      </c>
      <c r="M29" s="105">
        <v>0</v>
      </c>
      <c r="N29" s="110" t="s">
        <v>67</v>
      </c>
      <c r="O29" s="30"/>
      <c r="P29" s="30"/>
      <c r="Q29" s="30"/>
    </row>
    <row r="30" spans="1:19" ht="18">
      <c r="A30" s="58"/>
      <c r="B30" s="74"/>
      <c r="C30" s="65" t="str">
        <f>"d = "&amp;FIXED(C73,1)&amp;" mm,    As = "&amp;FIXED(C76,0)&amp;" mm²"</f>
        <v>d = 369.0 mm,    As = 1,549 mm²</v>
      </c>
      <c r="D30" s="108"/>
      <c r="E30" s="108"/>
      <c r="G30" s="108"/>
      <c r="H30" s="111" t="str">
        <f>E90&amp;M5&amp;D70&amp;P21&amp;"T"&amp;M69</f>
        <v>8 T10 14 T1</v>
      </c>
      <c r="I30" s="112"/>
      <c r="J30" s="112"/>
      <c r="K30" s="62"/>
      <c r="L30" s="109" t="str">
        <f>IF(M30&gt;0,"PILE IN TENSION",".")</f>
        <v>.</v>
      </c>
      <c r="M30" s="113">
        <v>0</v>
      </c>
      <c r="N30" s="110" t="s">
        <v>67</v>
      </c>
      <c r="O30" s="30"/>
      <c r="P30" s="30"/>
      <c r="Q30" s="30"/>
    </row>
    <row r="31" spans="1:19" ht="18">
      <c r="A31" s="58"/>
      <c r="B31" s="74"/>
      <c r="C31" s="114"/>
      <c r="D31" s="115" t="str">
        <f>C84</f>
        <v>14 T12 B1</v>
      </c>
      <c r="E31" s="116" t="str">
        <f>" = "&amp;FIXED(C79,0)&amp;" mm²"</f>
        <v xml:space="preserve"> = 1,583 mm²</v>
      </c>
      <c r="F31" s="108"/>
      <c r="G31" s="61"/>
      <c r="H31" s="117"/>
      <c r="I31" s="117"/>
      <c r="J31" s="117"/>
      <c r="K31" s="62"/>
      <c r="L31" s="109" t="str">
        <f>IF(M31=0,".","v &gt; vmax")</f>
        <v>.</v>
      </c>
      <c r="M31" s="113">
        <v>0</v>
      </c>
      <c r="N31" s="110" t="s">
        <v>67</v>
      </c>
      <c r="O31" s="30"/>
      <c r="P31" s="30"/>
      <c r="Q31" s="30"/>
    </row>
    <row r="32" spans="1:19" ht="16.5">
      <c r="A32" s="58"/>
      <c r="B32" s="118"/>
      <c r="C32" s="119"/>
      <c r="D32" s="120"/>
      <c r="E32" s="120"/>
      <c r="F32" s="120"/>
      <c r="H32" s="117"/>
      <c r="I32" s="117"/>
      <c r="J32" s="117"/>
      <c r="K32" s="62"/>
      <c r="L32" s="121"/>
      <c r="M32" s="113">
        <v>0</v>
      </c>
      <c r="N32" s="122" t="s">
        <v>67</v>
      </c>
      <c r="O32" s="123"/>
      <c r="P32" s="123"/>
      <c r="Q32" s="123"/>
      <c r="R32" s="120"/>
      <c r="S32" s="120"/>
    </row>
    <row r="33" spans="1:19" ht="18">
      <c r="A33" s="58"/>
      <c r="B33" s="74"/>
      <c r="C33" s="107" t="str">
        <f>"V = "&amp;FIXED(C88,1)&amp;" kN,     bv = "&amp;FIXED(C72,0)&amp;" mm"</f>
        <v>V = 475.8 kN,     bv = 2,000 mm</v>
      </c>
      <c r="H33" s="124"/>
      <c r="I33" s="125" t="str">
        <f>C78&amp;M5&amp;C70&amp;P20&amp;"B"&amp;M69</f>
        <v>14 T12 13 B1</v>
      </c>
      <c r="J33" s="125"/>
      <c r="K33" s="62"/>
      <c r="L33" s="109" t="str">
        <f>L81</f>
        <v>.</v>
      </c>
      <c r="M33" s="105">
        <v>0</v>
      </c>
      <c r="N33" s="122"/>
      <c r="O33" s="30"/>
      <c r="P33" s="30"/>
      <c r="Q33" s="30"/>
    </row>
    <row r="34" spans="1:19" ht="18">
      <c r="A34" s="58"/>
      <c r="B34" s="74"/>
      <c r="C34" s="126" t="str">
        <f>"v = "&amp;FIXED(E88,3)&amp;" N/mm²,   (v-vc)b = "&amp;FIXED(G89,0)&amp;" N/mm"</f>
        <v>v = 0.645 N/mm²,   (v-vc)b = 800 N/mm</v>
      </c>
      <c r="H34" s="124"/>
      <c r="I34" s="127" t="str">
        <f>IF(M69=1,E94&amp;" Link Legs","Links "&amp;E90&amp;"x"&amp;[1]Graf!M90&amp;M5&amp;D87&amp;P22&amp;G90)</f>
        <v>8 Link Legs</v>
      </c>
      <c r="J34" s="128"/>
      <c r="K34" s="62"/>
      <c r="L34" s="129"/>
      <c r="M34" s="113">
        <v>0</v>
      </c>
      <c r="N34" s="110" t="s">
        <v>67</v>
      </c>
      <c r="O34" s="30"/>
      <c r="P34" s="30"/>
      <c r="Q34" s="30"/>
    </row>
    <row r="35" spans="1:19" ht="18">
      <c r="A35" s="58"/>
      <c r="B35" s="74"/>
      <c r="D35" s="130" t="str">
        <f>H90</f>
        <v>8 Legs T8 @ 200 LINKS</v>
      </c>
      <c r="E35" s="116" t="str">
        <f>" = "&amp;FIXED(M90,0)&amp;" N/mm"</f>
        <v xml:space="preserve"> = 881 N/mm</v>
      </c>
      <c r="H35" s="295" t="s">
        <v>68</v>
      </c>
      <c r="I35" s="296"/>
      <c r="J35" s="296"/>
      <c r="K35" s="62"/>
      <c r="L35" s="129"/>
      <c r="M35" s="131">
        <v>0</v>
      </c>
      <c r="N35" s="47"/>
      <c r="O35" s="30"/>
      <c r="P35" s="30"/>
      <c r="Q35" s="30"/>
    </row>
    <row r="36" spans="1:19" ht="18">
      <c r="A36" s="58"/>
      <c r="B36" s="106"/>
      <c r="K36" s="62"/>
      <c r="L36" s="132"/>
      <c r="M36" s="133"/>
      <c r="N36" s="134"/>
    </row>
    <row r="37" spans="1:19" ht="18">
      <c r="A37" s="58"/>
      <c r="B37" s="106" t="s">
        <v>69</v>
      </c>
      <c r="C37" s="135" t="str">
        <f>"M = "&amp;FIXED(G71,1)&amp;" kNm,    b = "&amp;FIXED(G72,0)&amp;" mm"</f>
        <v>M = 222.1 kNm,    b = 2,000 mm</v>
      </c>
      <c r="D37" s="108"/>
      <c r="E37" s="108"/>
      <c r="F37" s="108"/>
      <c r="G37" s="108"/>
      <c r="H37" s="108"/>
      <c r="I37" s="108"/>
      <c r="J37" s="108"/>
      <c r="K37" s="62"/>
      <c r="L37" s="132"/>
      <c r="N37" s="134"/>
    </row>
    <row r="38" spans="1:19" ht="18">
      <c r="A38" s="58"/>
      <c r="B38" s="74"/>
      <c r="C38" s="65" t="str">
        <f>"d = "&amp;FIXED(G73,1)&amp;" mm,    As = "&amp;FIXED(G76,0)&amp;" mm²"</f>
        <v>d = 357.0 mm,    As = 1,495 mm²</v>
      </c>
      <c r="D38" s="108"/>
      <c r="E38" s="108"/>
      <c r="F38" s="108"/>
      <c r="G38" s="108"/>
      <c r="H38" s="111" t="str">
        <f>H78&amp;M5&amp;H70&amp;Q21&amp;"T"&amp;M70</f>
        <v>8 T10 16 T2</v>
      </c>
      <c r="I38" s="112"/>
      <c r="J38" s="112"/>
      <c r="K38" s="62"/>
      <c r="L38" s="132"/>
      <c r="M38" s="133"/>
      <c r="N38" s="134"/>
    </row>
    <row r="39" spans="1:19" ht="18">
      <c r="A39" s="58"/>
      <c r="B39" s="74"/>
      <c r="C39" s="108"/>
      <c r="D39" s="115" t="str">
        <f>G84</f>
        <v>14 T12 B2</v>
      </c>
      <c r="E39" s="116" t="str">
        <f>" = "&amp;FIXED(G79,0)&amp;" mm²"</f>
        <v xml:space="preserve"> = 1,583 mm²</v>
      </c>
      <c r="F39" s="108"/>
      <c r="G39" s="61"/>
      <c r="H39" s="117"/>
      <c r="I39" s="117"/>
      <c r="J39" s="117"/>
      <c r="K39" s="62"/>
      <c r="L39" s="132"/>
      <c r="M39" s="136"/>
      <c r="N39" s="134"/>
    </row>
    <row r="40" spans="1:19" ht="16.5">
      <c r="A40" s="58"/>
      <c r="B40" s="118"/>
      <c r="C40" s="119"/>
      <c r="D40" s="61"/>
      <c r="E40" s="137"/>
      <c r="F40" s="120"/>
      <c r="H40" s="117"/>
      <c r="I40" s="117"/>
      <c r="J40" s="117"/>
      <c r="K40" s="62"/>
      <c r="L40" s="138"/>
      <c r="M40" s="120"/>
      <c r="N40" s="120"/>
      <c r="O40" s="120"/>
      <c r="P40" s="120"/>
      <c r="Q40" s="120"/>
      <c r="R40" s="120"/>
      <c r="S40" s="120"/>
    </row>
    <row r="41" spans="1:19" ht="18">
      <c r="A41" s="58"/>
      <c r="B41" s="139"/>
      <c r="C41" s="107" t="str">
        <f>"V = "&amp;FIXED(C92,1)&amp;" kN,     bv = "&amp;FIXED(G72,0)&amp;" mm"</f>
        <v>V = 493.5 kN,     bv = 2,000 mm</v>
      </c>
      <c r="H41" s="124"/>
      <c r="I41" s="125" t="str">
        <f>G78&amp;M5&amp;G70&amp;Q20&amp;"B"&amp;M70</f>
        <v>14 T12 15 B2</v>
      </c>
      <c r="J41" s="125"/>
      <c r="K41" s="62"/>
      <c r="L41" s="75"/>
    </row>
    <row r="42" spans="1:19" ht="18">
      <c r="A42" s="58"/>
      <c r="B42" s="139"/>
      <c r="C42" s="126" t="str">
        <f>"v = "&amp;FIXED(E92,3)&amp;" N/mm²,   (v-vc)b = "&amp;FIXED(G93,0)&amp;" N/mm"</f>
        <v>v = 0.691 N/mm²,   (v-vc)b = 800 N/mm</v>
      </c>
      <c r="H42" s="124"/>
      <c r="I42" s="127" t="str">
        <f>IF(M69=2,E90&amp;" Link Legs","Links "&amp;E94&amp;"x"&amp;[1]Graf!M101&amp;M5&amp;D87&amp;Q22&amp;G94)</f>
        <v>Links 8x10 T8 17 200</v>
      </c>
      <c r="J42" s="128"/>
      <c r="K42" s="62"/>
      <c r="L42" s="75"/>
    </row>
    <row r="43" spans="1:19" ht="18">
      <c r="A43" s="58"/>
      <c r="B43" s="74"/>
      <c r="D43" s="115" t="str">
        <f>H94</f>
        <v>8 Legs T8 @ 200 LINKS</v>
      </c>
      <c r="E43" s="116" t="str">
        <f>" = "&amp;FIXED(M94,0)&amp;" N/mm"</f>
        <v xml:space="preserve"> = 881 N/mm</v>
      </c>
      <c r="F43" s="94"/>
      <c r="G43" s="61"/>
      <c r="H43" s="295" t="s">
        <v>70</v>
      </c>
      <c r="I43" s="296"/>
      <c r="J43" s="296"/>
      <c r="K43" s="62"/>
      <c r="L43" s="140" t="str">
        <f>CEILING([1]SCHEDULE!W26,1)&amp;" kg per cap"</f>
        <v>88 kg per cap</v>
      </c>
    </row>
    <row r="44" spans="1:19" ht="15.75" thickBot="1">
      <c r="A44" s="141"/>
      <c r="B44" s="142"/>
      <c r="C44" s="143"/>
      <c r="D44" s="144"/>
      <c r="E44" s="145"/>
      <c r="F44" s="145"/>
      <c r="G44" s="146"/>
      <c r="H44" s="143"/>
      <c r="I44" s="144"/>
      <c r="J44" s="145"/>
      <c r="K44" s="147"/>
      <c r="L44" s="148"/>
      <c r="M44" s="149"/>
      <c r="N44" s="149"/>
      <c r="O44" s="149"/>
      <c r="P44" s="149"/>
      <c r="Q44" s="149"/>
      <c r="R44" s="149"/>
      <c r="S44" s="149"/>
    </row>
    <row r="45" spans="1:19" ht="17.25" thickTop="1" thickBot="1">
      <c r="A45" s="58"/>
      <c r="B45" s="150"/>
      <c r="C45" s="58"/>
      <c r="D45" s="58"/>
      <c r="E45" s="58"/>
      <c r="F45" s="58"/>
      <c r="G45" s="58"/>
      <c r="H45" s="58"/>
      <c r="I45" s="58"/>
      <c r="J45" s="58"/>
      <c r="K45" s="151"/>
      <c r="L45" s="152"/>
    </row>
    <row r="46" spans="1:19" ht="33" customHeight="1" thickTop="1" thickBot="1">
      <c r="A46" s="32"/>
      <c r="B46" s="33" t="s">
        <v>3</v>
      </c>
      <c r="C46" s="153">
        <f>C6</f>
        <v>0</v>
      </c>
      <c r="D46" s="34"/>
      <c r="E46" s="34"/>
      <c r="F46" s="35"/>
      <c r="G46" s="297"/>
      <c r="H46" s="298"/>
      <c r="I46" s="301">
        <f>I6</f>
        <v>0</v>
      </c>
      <c r="J46" s="302">
        <f>J6</f>
        <v>0</v>
      </c>
      <c r="K46" s="303">
        <f>K6</f>
        <v>0</v>
      </c>
      <c r="L46" s="154"/>
    </row>
    <row r="47" spans="1:19" ht="18.75" thickTop="1">
      <c r="A47" s="27"/>
      <c r="B47" s="37" t="s">
        <v>5</v>
      </c>
      <c r="C47" s="155">
        <f>C7</f>
        <v>0</v>
      </c>
      <c r="D47" s="38"/>
      <c r="E47" s="39"/>
      <c r="F47" s="40"/>
      <c r="G47" s="299"/>
      <c r="H47" s="300"/>
      <c r="I47" s="41" t="s">
        <v>6</v>
      </c>
      <c r="J47" s="42" t="s">
        <v>7</v>
      </c>
      <c r="K47" s="43" t="s">
        <v>8</v>
      </c>
      <c r="L47" s="154"/>
    </row>
    <row r="48" spans="1:19" ht="19.5" customHeight="1">
      <c r="A48" s="27"/>
      <c r="B48" s="37" t="s">
        <v>11</v>
      </c>
      <c r="C48" s="156">
        <f>C8</f>
        <v>0</v>
      </c>
      <c r="D48" s="39"/>
      <c r="E48" s="39"/>
      <c r="F48" s="40"/>
      <c r="G48" s="281" t="str">
        <f>G8</f>
        <v>4 Pile Cap</v>
      </c>
      <c r="H48" s="282">
        <f>H8</f>
        <v>0</v>
      </c>
      <c r="I48" s="157">
        <f>I8</f>
        <v>0</v>
      </c>
      <c r="J48" s="158">
        <f ca="1">J8</f>
        <v>43070</v>
      </c>
      <c r="K48" s="159">
        <f>K8+1</f>
        <v>1</v>
      </c>
      <c r="L48" s="154"/>
    </row>
    <row r="49" spans="1:18" ht="18">
      <c r="A49" s="27"/>
      <c r="B49" s="48"/>
      <c r="C49" s="41">
        <f>C9</f>
        <v>0</v>
      </c>
      <c r="D49" s="49"/>
      <c r="E49" s="50"/>
      <c r="F49" s="51"/>
      <c r="G49" s="283">
        <f>G9</f>
        <v>0</v>
      </c>
      <c r="H49" s="282">
        <f>H9</f>
        <v>0</v>
      </c>
      <c r="I49" s="41" t="s">
        <v>15</v>
      </c>
      <c r="J49" s="52" t="s">
        <v>16</v>
      </c>
      <c r="K49" s="43" t="s">
        <v>17</v>
      </c>
      <c r="L49" s="154"/>
    </row>
    <row r="50" spans="1:18" ht="18.75" thickBot="1">
      <c r="A50" s="27"/>
      <c r="B50" s="53"/>
      <c r="C50" s="54">
        <f>C10</f>
        <v>0</v>
      </c>
      <c r="D50" s="54"/>
      <c r="E50" s="55"/>
      <c r="F50" s="56"/>
      <c r="G50" s="56"/>
      <c r="H50" s="57"/>
      <c r="I50" s="160"/>
      <c r="J50" s="161" t="str">
        <f>J10</f>
        <v>-</v>
      </c>
      <c r="K50" s="162">
        <f>K10</f>
        <v>0</v>
      </c>
      <c r="L50" s="154"/>
    </row>
    <row r="51" spans="1:18" ht="16.5" thickTop="1">
      <c r="A51" s="58"/>
      <c r="B51" s="163"/>
      <c r="C51" s="164"/>
      <c r="D51" s="165"/>
      <c r="E51" s="165"/>
      <c r="F51" s="166"/>
      <c r="G51" s="166"/>
      <c r="H51" s="166"/>
      <c r="I51" s="166"/>
      <c r="J51" s="166"/>
      <c r="K51" s="167"/>
      <c r="L51" s="154"/>
    </row>
    <row r="52" spans="1:18" ht="15.75">
      <c r="A52" s="58"/>
      <c r="B52" s="168" t="s">
        <v>71</v>
      </c>
      <c r="C52" s="169">
        <f>[1]DOUBLE!J10*(2*E13+E14)*(2*E13+E15)*E18/1000000000</f>
        <v>42.48</v>
      </c>
      <c r="D52" s="170" t="s">
        <v>72</v>
      </c>
      <c r="F52" s="136"/>
      <c r="G52" s="171"/>
      <c r="H52" s="172" t="s">
        <v>73</v>
      </c>
      <c r="I52" s="173"/>
      <c r="J52" s="173"/>
      <c r="K52" s="174"/>
      <c r="L52" s="154"/>
    </row>
    <row r="53" spans="1:18" ht="15.75">
      <c r="A53" s="58"/>
      <c r="B53" s="175"/>
      <c r="F53" s="176"/>
      <c r="H53" s="177"/>
      <c r="I53" s="178" t="s">
        <v>39</v>
      </c>
      <c r="J53" s="179" t="s">
        <v>40</v>
      </c>
      <c r="K53" s="180" t="s">
        <v>41</v>
      </c>
      <c r="L53" s="154"/>
    </row>
    <row r="54" spans="1:18" ht="15.75">
      <c r="A54" s="58"/>
      <c r="B54" s="181" t="s">
        <v>74</v>
      </c>
      <c r="C54" s="182"/>
      <c r="D54" s="182"/>
      <c r="E54" s="182"/>
      <c r="F54" s="176"/>
      <c r="H54" s="177" t="s">
        <v>75</v>
      </c>
      <c r="I54" s="183">
        <f>C23+C25*$E18/1000+C22*($E16-$E14/2)/1000</f>
        <v>10.45</v>
      </c>
      <c r="J54" s="184">
        <f>D23+D25*$E18/1000+D22*($E16-$E14/2)/1000</f>
        <v>5.2249999999999996</v>
      </c>
      <c r="K54" s="185">
        <f>E23+E25*$E18/1000+E22*($E16-$E14/2)/1000</f>
        <v>2.09</v>
      </c>
      <c r="L54" s="154"/>
    </row>
    <row r="55" spans="1:18" ht="15.75">
      <c r="A55" s="58"/>
      <c r="B55" s="186"/>
      <c r="C55" s="178" t="s">
        <v>55</v>
      </c>
      <c r="D55" s="179" t="s">
        <v>56</v>
      </c>
      <c r="E55" s="179" t="s">
        <v>57</v>
      </c>
      <c r="F55" s="187" t="s">
        <v>58</v>
      </c>
      <c r="H55" s="177" t="s">
        <v>76</v>
      </c>
      <c r="I55" s="183">
        <f>C24+C26*$E18/1000+C22*($E17-$E15/2)/1000</f>
        <v>20.9</v>
      </c>
      <c r="J55" s="184">
        <f>D24+D26*$E18/1000+D22*($E17-$E15/2)/1000</f>
        <v>10.45</v>
      </c>
      <c r="K55" s="185">
        <f>E24+E26*$E18/1000+E22*($E17-$E15/2)/1000</f>
        <v>5.2249999999999996</v>
      </c>
      <c r="L55" s="154"/>
    </row>
    <row r="56" spans="1:18" ht="15.75">
      <c r="A56" s="58"/>
      <c r="B56" s="186" t="s">
        <v>77</v>
      </c>
      <c r="C56" s="188">
        <f>(C22+D22+C52)/4-500*(I55+J55)/E15-500*(I54+J54)/E14</f>
        <v>150.53346153846152</v>
      </c>
      <c r="D56" s="189">
        <f>(C22+D22+C52)/4-500*(I55+J55)/E15+500*(I54+J54)/E14</f>
        <v>162.59115384615384</v>
      </c>
      <c r="E56" s="189">
        <f>(C22+D22+C52)/4+500*(I55+J55)/E15-500*(I54+J54)/E14</f>
        <v>174.64884615384616</v>
      </c>
      <c r="F56" s="190">
        <f>(C22+D22+C52)/4+500*(I55+J55)/E15+500*(I54+J54)/E14</f>
        <v>186.70653846153849</v>
      </c>
      <c r="G56" s="191" t="str">
        <f>IF(MAX(C56:F56)&gt;[1]DOUBLE!D10,"PILE CAPACITY EXCEEDED",".")</f>
        <v>.</v>
      </c>
      <c r="K56" s="192"/>
      <c r="L56" s="154"/>
    </row>
    <row r="57" spans="1:18" ht="15.75">
      <c r="A57" s="58"/>
      <c r="B57" s="186" t="s">
        <v>78</v>
      </c>
      <c r="C57" s="193">
        <f>C56-500*K55/E15+E22/4-500*K54/E14</f>
        <v>151.11999999999998</v>
      </c>
      <c r="D57" s="194">
        <f>D56-500*K55/E15+E22/4+500*K54/E14</f>
        <v>164.78538461538463</v>
      </c>
      <c r="E57" s="194">
        <f>E56+500*K55/E15+E22/4-500*K54/E14</f>
        <v>179.25461538461539</v>
      </c>
      <c r="F57" s="195">
        <f>F56+500*K55/E15+E22/4+500*K54/E14</f>
        <v>192.92000000000004</v>
      </c>
      <c r="G57" s="191" t="str">
        <f>IF(MAX(C57:F57)&gt;1.25*[1]DOUBLE!D10,"&gt; 1.25 x PILE CAPACITY",".")</f>
        <v>.</v>
      </c>
      <c r="K57" s="192"/>
      <c r="L57" s="154"/>
    </row>
    <row r="58" spans="1:18" ht="15.75">
      <c r="A58" s="58"/>
      <c r="B58" s="186" t="s">
        <v>79</v>
      </c>
      <c r="C58" s="193">
        <f>(1.4*C22+1.6*D22)/4-500*(1.4*I55+1.6*J55)/E15-500*(1.4*I54+1.6*J54)/E14</f>
        <v>202.52307692307696</v>
      </c>
      <c r="D58" s="194">
        <f>(1.4*C22+1.6*D22)/4-500*(1.4*I55+1.6*J55)/E15+500*(1.4*I54+1.6*J54)/E14</f>
        <v>220.20769230769233</v>
      </c>
      <c r="E58" s="194">
        <f>(1.4*C22+1.6*D22)/4+500*(1.4*I55+1.6*J55)/E15-500*(1.4*I54+1.6*J54)/E14</f>
        <v>237.8923076923077</v>
      </c>
      <c r="F58" s="195">
        <f>(1.4*C22+1.6*D22)/4+500*(1.4*I55+1.6*J55)/E15+500*(1.4*I54+1.6*J54)/E14</f>
        <v>255.57692307692307</v>
      </c>
      <c r="G58" s="196"/>
      <c r="K58" s="192"/>
      <c r="L58" s="154"/>
    </row>
    <row r="59" spans="1:18" ht="19.5" customHeight="1">
      <c r="A59" s="58"/>
      <c r="B59" s="186" t="s">
        <v>80</v>
      </c>
      <c r="C59" s="193">
        <f>(C22+1.4*E22)/4-500*(I55+1.4*K55)/E15-500*(I54+1.4*K54)/E14</f>
        <v>107.51346153846154</v>
      </c>
      <c r="D59" s="194">
        <f>(C22+1.4*E22)/4-500*(I55+1.4*K55)/E15+500*(I54+1.4*K54)/E14</f>
        <v>117.80269230769233</v>
      </c>
      <c r="E59" s="194">
        <f>(C22+1.4*E22)/4+500*(I55+1.4*K55)/E15-500*(I54+1.4*K54)/E14</f>
        <v>129.21730769230771</v>
      </c>
      <c r="F59" s="195">
        <f>(C22+1.4*E22)/4+500*(I55+1.4*K55)/E15+500*(I54+1.4*K54)/E14</f>
        <v>139.50653846153847</v>
      </c>
      <c r="G59" s="191" t="str">
        <f>IF(MIN(C56:F57)&lt;0,"PILE IN TENSION",IF(MIN(C58:F60)&lt;0,"PILE IN TENSION (ULS)","."))</f>
        <v>.</v>
      </c>
      <c r="K59" s="192"/>
      <c r="L59" s="154"/>
    </row>
    <row r="60" spans="1:18" ht="15.75">
      <c r="A60" s="58"/>
      <c r="B60" s="186" t="s">
        <v>81</v>
      </c>
      <c r="C60" s="183">
        <f>0.3*SUM(C22:E22)-600*SUM(I55:K55)/E15-600*SUM(I54:K54)/E14</f>
        <v>168.6</v>
      </c>
      <c r="D60" s="184">
        <f>0.3*SUM(C22:E22)-600*SUM(I55:K55)/E15+600*SUM(I54:K54)/E14</f>
        <v>184.99846153846156</v>
      </c>
      <c r="E60" s="184">
        <f>0.3*SUM(C22:E22)+600*SUM(I55:K55)/E15-600*SUM(I54:K54)/E14</f>
        <v>202.36153846153846</v>
      </c>
      <c r="F60" s="197">
        <f>0.3*SUM(C22:E22)+600*SUM(I55:K55)/E15+600*SUM(I54:K54)/E14</f>
        <v>218.76000000000002</v>
      </c>
      <c r="K60" s="192"/>
      <c r="L60" s="154"/>
    </row>
    <row r="61" spans="1:18" ht="15.75">
      <c r="A61" s="58"/>
      <c r="B61" s="186"/>
      <c r="K61" s="192"/>
      <c r="L61" s="154"/>
    </row>
    <row r="62" spans="1:18" ht="15.75">
      <c r="A62" s="58"/>
      <c r="B62" s="198" t="s">
        <v>82</v>
      </c>
      <c r="G62" s="173"/>
      <c r="H62" s="173"/>
      <c r="I62" s="173"/>
      <c r="J62" s="173"/>
      <c r="K62" s="192"/>
      <c r="L62" s="154"/>
      <c r="N62" s="134"/>
      <c r="O62" s="284" t="s">
        <v>83</v>
      </c>
      <c r="P62" s="276"/>
    </row>
    <row r="63" spans="1:18" ht="15.75">
      <c r="A63" s="58"/>
      <c r="B63" s="175"/>
      <c r="C63" s="285" t="s">
        <v>79</v>
      </c>
      <c r="D63" s="285"/>
      <c r="E63" s="285" t="s">
        <v>80</v>
      </c>
      <c r="F63" s="285"/>
      <c r="G63" s="285" t="s">
        <v>81</v>
      </c>
      <c r="H63" s="285"/>
      <c r="I63" s="173"/>
      <c r="J63" s="173"/>
      <c r="K63" s="192"/>
      <c r="L63" s="154"/>
      <c r="N63" s="199"/>
      <c r="O63" s="200" t="s">
        <v>84</v>
      </c>
      <c r="P63" s="201" t="s">
        <v>85</v>
      </c>
    </row>
    <row r="64" spans="1:18" ht="15.75">
      <c r="A64" s="58"/>
      <c r="B64" s="186" t="s">
        <v>86</v>
      </c>
      <c r="C64" s="286">
        <f>(C58+D58)*(E17-C15/2)/1000</f>
        <v>190.22884615384618</v>
      </c>
      <c r="D64" s="287"/>
      <c r="E64" s="286">
        <f>(C59+D59)*(E17-C15/2)/1000</f>
        <v>101.39226923076923</v>
      </c>
      <c r="F64" s="287"/>
      <c r="G64" s="286">
        <f>(C60+D60)*(E17-C15/2)/1000</f>
        <v>159.1193076923077</v>
      </c>
      <c r="H64" s="287"/>
      <c r="I64" s="199"/>
      <c r="J64" s="170"/>
      <c r="K64" s="192"/>
      <c r="L64" s="154"/>
      <c r="N64" s="76" t="s">
        <v>87</v>
      </c>
      <c r="O64" s="188">
        <f>E18-[1]DOUBLE!G10-12.5-IF(M69=1,0,25)</f>
        <v>362.5</v>
      </c>
      <c r="P64" s="190">
        <f>E18-[1]DOUBLE!G10-12.5-IF(M69=2,0,25)</f>
        <v>337.5</v>
      </c>
      <c r="Q64" s="171">
        <f>K72*O65*E18*IF(D71=0,0.5,1)</f>
        <v>585</v>
      </c>
      <c r="R64" s="171">
        <f>K72*P65*E18*IF(H71=0,0.5,1)</f>
        <v>585</v>
      </c>
    </row>
    <row r="65" spans="1:19" ht="15.75">
      <c r="A65" s="58"/>
      <c r="B65" s="186" t="s">
        <v>88</v>
      </c>
      <c r="C65" s="279">
        <f>(E58+F58)*(E15-E17-C15/2)/1000</f>
        <v>222.06115384615384</v>
      </c>
      <c r="D65" s="280"/>
      <c r="E65" s="279">
        <f>(E59+F59)*(E15-E17-C15/2)/1000</f>
        <v>120.92573076923078</v>
      </c>
      <c r="F65" s="280"/>
      <c r="G65" s="279">
        <f>(E60+F60)*(E15-E17-C15/2)/1000</f>
        <v>189.50469230769232</v>
      </c>
      <c r="H65" s="280"/>
      <c r="I65" s="199"/>
      <c r="J65" s="170"/>
      <c r="K65" s="192"/>
      <c r="L65" s="154"/>
      <c r="N65" s="76" t="s">
        <v>89</v>
      </c>
      <c r="O65" s="202">
        <f>C72</f>
        <v>2000</v>
      </c>
      <c r="P65" s="203">
        <f>G72</f>
        <v>2000</v>
      </c>
      <c r="Q65" s="204"/>
      <c r="R65" s="173"/>
    </row>
    <row r="66" spans="1:19" ht="15.75">
      <c r="A66" s="58"/>
      <c r="B66" s="186" t="s">
        <v>90</v>
      </c>
      <c r="C66" s="279">
        <f>(C58+E58)*(E16-C14/2)/1000</f>
        <v>220.2076923076923</v>
      </c>
      <c r="D66" s="280"/>
      <c r="E66" s="279">
        <f>(C59+E59)*(E16-C14/2)/1000</f>
        <v>118.36538461538463</v>
      </c>
      <c r="F66" s="280"/>
      <c r="G66" s="279">
        <f>(C60+E60)*(E16-C14/2)/1000</f>
        <v>185.48076923076923</v>
      </c>
      <c r="H66" s="280"/>
      <c r="I66" s="199"/>
      <c r="J66" s="170"/>
      <c r="K66" s="192"/>
      <c r="L66" s="154"/>
      <c r="N66" s="76" t="s">
        <v>91</v>
      </c>
      <c r="O66" s="205">
        <f>500000*C71/O65/[1]DOUBLE!D8/O64^2</f>
        <v>1.293112594896186E-2</v>
      </c>
      <c r="P66" s="206">
        <f>500000*G71/P65/[1]DOUBLE!D8/P64^2</f>
        <v>1.3925057658390992E-2</v>
      </c>
      <c r="Q66" s="171"/>
      <c r="R66" s="173"/>
    </row>
    <row r="67" spans="1:19" ht="15.75">
      <c r="A67" s="58"/>
      <c r="B67" s="186" t="s">
        <v>92</v>
      </c>
      <c r="C67" s="271">
        <f>(D58+F58)*(E14-E16-C14/2)/1000</f>
        <v>237.8923076923077</v>
      </c>
      <c r="D67" s="272"/>
      <c r="E67" s="271">
        <f>(D59+F59)*(E14-E16-C14/2)/1000</f>
        <v>128.6546153846154</v>
      </c>
      <c r="F67" s="272"/>
      <c r="G67" s="271">
        <f>(D60+F60)*(E14-E16-C14/2)/1000</f>
        <v>201.87923076923079</v>
      </c>
      <c r="H67" s="272"/>
      <c r="I67" s="199"/>
      <c r="J67" s="170"/>
      <c r="K67" s="192"/>
      <c r="L67" s="154"/>
      <c r="M67" s="136"/>
      <c r="N67" s="177" t="s">
        <v>93</v>
      </c>
      <c r="O67" s="193">
        <f>O64*MIN(0.5+SQRT(0.25-O66/0.9),0.95)</f>
        <v>344.375</v>
      </c>
      <c r="P67" s="195">
        <f>P64*MIN(0.5+SQRT(0.25-P66/0.9),0.95)</f>
        <v>320.625</v>
      </c>
      <c r="Q67" s="173"/>
      <c r="R67" s="173"/>
    </row>
    <row r="68" spans="1:19" ht="15.75">
      <c r="A68" s="58"/>
      <c r="B68" s="186"/>
      <c r="K68" s="192"/>
      <c r="L68" s="154"/>
      <c r="M68" s="199"/>
      <c r="N68" s="199" t="s">
        <v>94</v>
      </c>
      <c r="O68" s="202">
        <f>1000000*C71/O67/[1]DOUBLE!D9*[1]DOUBLE!J9</f>
        <v>1576.813212826785</v>
      </c>
      <c r="P68" s="203">
        <f>1000000*G71/P67/[1]DOUBLE!D9*[1]DOUBLE!J9</f>
        <v>1580.9082907938746</v>
      </c>
      <c r="Q68" s="173"/>
      <c r="R68" s="173"/>
      <c r="S68" s="173"/>
    </row>
    <row r="69" spans="1:19" ht="15.75">
      <c r="A69" s="58"/>
      <c r="B69" s="181" t="s">
        <v>95</v>
      </c>
      <c r="C69" s="207" t="s">
        <v>96</v>
      </c>
      <c r="D69" s="207" t="s">
        <v>97</v>
      </c>
      <c r="E69" s="207"/>
      <c r="F69" s="172" t="s">
        <v>98</v>
      </c>
      <c r="G69" s="207" t="s">
        <v>96</v>
      </c>
      <c r="H69" s="207" t="s">
        <v>97</v>
      </c>
      <c r="I69" s="199"/>
      <c r="J69" s="170"/>
      <c r="K69" s="192"/>
      <c r="L69" s="154"/>
      <c r="M69" s="170">
        <f>IF(C71/C72&gt;=G71/G72,1,2)</f>
        <v>1</v>
      </c>
      <c r="N69" s="199" t="s">
        <v>99</v>
      </c>
      <c r="O69" s="202">
        <f>MAX(O68,$K72*(2*E13+E15)*E18)</f>
        <v>1576.813212826785</v>
      </c>
      <c r="P69" s="203">
        <f>MAX(P68,$K72*(2*E13+E14)*E18)</f>
        <v>1580.9082907938746</v>
      </c>
      <c r="Q69" s="173"/>
      <c r="R69" s="173"/>
      <c r="S69" s="173"/>
    </row>
    <row r="70" spans="1:19" ht="15.75">
      <c r="A70" s="58"/>
      <c r="B70" s="186"/>
      <c r="C70" s="208">
        <f>VLOOKUP(O69/O70,[1]DOUBLE!O1:P8,2)</f>
        <v>12</v>
      </c>
      <c r="D70" s="208">
        <f>VLOOKUP(Q64/O87,[1]DOUBLE!O1:Q8,3)</f>
        <v>10</v>
      </c>
      <c r="E70" s="207"/>
      <c r="G70" s="208">
        <f>VLOOKUP(P69/P70,[1]DOUBLE!O1:P8,2)</f>
        <v>12</v>
      </c>
      <c r="H70" s="208">
        <f>VLOOKUP(R64/Q87,[1]DOUBLE!O1:Q8,3)</f>
        <v>10</v>
      </c>
      <c r="I70" s="199"/>
      <c r="J70" s="170"/>
      <c r="K70" s="192"/>
      <c r="L70" s="154"/>
      <c r="M70" s="170">
        <f>IF(M69=1,2,1)</f>
        <v>2</v>
      </c>
      <c r="N70" s="199" t="s">
        <v>100</v>
      </c>
      <c r="O70" s="209">
        <f>CEILING((O65-2*([1]DOUBLE!G9+20))/O72+1,1)</f>
        <v>8</v>
      </c>
      <c r="P70" s="210">
        <f>CEILING((P65-2*([1]DOUBLE!G9+20))/P72+1,1)</f>
        <v>8</v>
      </c>
      <c r="Q70" s="204">
        <f>CEILING(O69/VLOOKUP(O69/O70,[1]DOUBLE!O1:P8,1),1)</f>
        <v>14</v>
      </c>
      <c r="R70" s="204">
        <f>CEILING(P69/VLOOKUP(P69/P70,[1]DOUBLE!O1:P8,1),1)</f>
        <v>14</v>
      </c>
      <c r="S70" s="173"/>
    </row>
    <row r="71" spans="1:19" ht="15.75">
      <c r="A71" s="58"/>
      <c r="B71" s="186" t="s">
        <v>101</v>
      </c>
      <c r="C71" s="207">
        <f>MAX(C66:H67)</f>
        <v>237.8923076923077</v>
      </c>
      <c r="D71" s="207">
        <f>ABS(MIN(C66:H67,0))</f>
        <v>0</v>
      </c>
      <c r="E71" s="173"/>
      <c r="F71" s="76" t="s">
        <v>101</v>
      </c>
      <c r="G71" s="207">
        <f>MAX(C64:H65)</f>
        <v>222.06115384615384</v>
      </c>
      <c r="H71" s="207">
        <f>ABS(MIN(C64:H65,0))</f>
        <v>0</v>
      </c>
      <c r="J71" s="76" t="s">
        <v>102</v>
      </c>
      <c r="K71" s="211">
        <f>[1]DOUBLE!J58</f>
        <v>0.15577500000000002</v>
      </c>
      <c r="L71" s="154"/>
      <c r="M71" s="199"/>
      <c r="N71" s="199" t="s">
        <v>103</v>
      </c>
      <c r="O71" s="202">
        <f>2/3*[1]DOUBLE!D9</f>
        <v>306.66666666666663</v>
      </c>
      <c r="P71" s="203">
        <f>O71</f>
        <v>306.66666666666663</v>
      </c>
      <c r="Q71" s="204">
        <f>CEILING((O65-2*[1]DOUBLE!G9-14)/0.75/O64,1)</f>
        <v>7</v>
      </c>
      <c r="R71" s="204">
        <f>CEILING((P65-2*[1]DOUBLE!G9-14)/0.75/P64,1)</f>
        <v>8</v>
      </c>
      <c r="S71" s="173"/>
    </row>
    <row r="72" spans="1:19" ht="15.75">
      <c r="A72" s="58"/>
      <c r="B72" s="186" t="s">
        <v>89</v>
      </c>
      <c r="C72" s="212">
        <f>E15+2*E13</f>
        <v>2000</v>
      </c>
      <c r="D72" s="212">
        <f>C72</f>
        <v>2000</v>
      </c>
      <c r="E72" s="213"/>
      <c r="F72" s="214" t="s">
        <v>89</v>
      </c>
      <c r="G72" s="212">
        <f>E14+2*E13</f>
        <v>2000</v>
      </c>
      <c r="H72" s="212">
        <f>G72</f>
        <v>2000</v>
      </c>
      <c r="J72" s="76" t="s">
        <v>104</v>
      </c>
      <c r="K72" s="215">
        <f>[1]DOUBLE!J59</f>
        <v>1.2999999999999999E-3</v>
      </c>
      <c r="L72" s="154"/>
      <c r="M72" s="199"/>
      <c r="N72" s="199" t="s">
        <v>105</v>
      </c>
      <c r="O72" s="183">
        <f>MIN(47000/O71/MIN(1,O77)+25,300)</f>
        <v>300</v>
      </c>
      <c r="P72" s="197">
        <f>MIN(47000/P71/MIN(1,Q77)+25,300)</f>
        <v>300</v>
      </c>
      <c r="Q72" s="173"/>
      <c r="R72" s="173"/>
      <c r="S72" s="173"/>
    </row>
    <row r="73" spans="1:19" ht="15.75">
      <c r="A73" s="58"/>
      <c r="B73" s="186" t="s">
        <v>87</v>
      </c>
      <c r="C73" s="207">
        <f>E18-[1]DOUBLE!G10-C70/2-IF(M69=1,0,G70)</f>
        <v>369</v>
      </c>
      <c r="D73" s="207">
        <f>E18-[1]DOUBLE!G9-D70/2-IF(M69=1,0,H70)</f>
        <v>395</v>
      </c>
      <c r="E73" s="173"/>
      <c r="F73" s="76" t="s">
        <v>87</v>
      </c>
      <c r="G73" s="207">
        <f>E18-[1]DOUBLE!G10-G70/2-IF(M69=2,0,C70)</f>
        <v>357</v>
      </c>
      <c r="H73" s="207">
        <f>E18-[1]DOUBLE!G9-H70/2-IF(M69=2,0,D70)</f>
        <v>385</v>
      </c>
      <c r="K73" s="192"/>
      <c r="L73" s="154"/>
      <c r="M73" s="199"/>
      <c r="N73" s="173"/>
      <c r="O73" s="173"/>
      <c r="P73" s="173"/>
      <c r="Q73" s="173"/>
      <c r="R73" s="173"/>
      <c r="S73" s="173"/>
    </row>
    <row r="74" spans="1:19" ht="15.75">
      <c r="A74" s="58"/>
      <c r="B74" s="186" t="s">
        <v>91</v>
      </c>
      <c r="C74" s="216">
        <f>1000000*C71/C72/[1]DOUBLE!$D8/C73^2</f>
        <v>2.4959140564930773E-2</v>
      </c>
      <c r="D74" s="216">
        <f>1000000*D71/D72/[1]DOUBLE!$D8/D73^2</f>
        <v>0</v>
      </c>
      <c r="E74" s="173"/>
      <c r="F74" s="76" t="s">
        <v>91</v>
      </c>
      <c r="G74" s="216">
        <f>1000000*G71/G72/[1]DOUBLE!$D8/G73^2</f>
        <v>2.4890757854531601E-2</v>
      </c>
      <c r="H74" s="216">
        <f>1000000*H71/H72/[1]DOUBLE!$D8/H73^2</f>
        <v>0</v>
      </c>
      <c r="I74" s="173"/>
      <c r="J74" s="173"/>
      <c r="K74" s="192"/>
      <c r="L74" s="154"/>
      <c r="M74" s="199"/>
      <c r="N74" s="199"/>
      <c r="O74" s="273" t="s">
        <v>106</v>
      </c>
      <c r="P74" s="274"/>
      <c r="Q74" s="275"/>
      <c r="R74" s="276"/>
      <c r="S74" s="173"/>
    </row>
    <row r="75" spans="1:19" ht="15.75">
      <c r="A75" s="58"/>
      <c r="B75" s="186" t="s">
        <v>93</v>
      </c>
      <c r="C75" s="169">
        <f>C73*MIN(0.5+SQRT(0.25-C74/0.9),0.95)</f>
        <v>350.55</v>
      </c>
      <c r="D75" s="169">
        <f>D73*MIN(0.5+SQRT(0.25-D74/0.9),0.95)</f>
        <v>375.25</v>
      </c>
      <c r="E75" s="173"/>
      <c r="F75" s="177" t="s">
        <v>93</v>
      </c>
      <c r="G75" s="169">
        <f>G73*MIN(0.5+SQRT(0.25-G74/0.9),0.95)</f>
        <v>339.15</v>
      </c>
      <c r="H75" s="169">
        <f>H73*MIN(0.5+SQRT(0.25-H74/0.9),0.95)</f>
        <v>365.75</v>
      </c>
      <c r="I75" s="173"/>
      <c r="J75" s="173"/>
      <c r="K75" s="192"/>
      <c r="L75" s="154"/>
      <c r="M75" s="199"/>
      <c r="O75" s="277" t="s">
        <v>107</v>
      </c>
      <c r="P75" s="278"/>
      <c r="Q75" s="277" t="s">
        <v>108</v>
      </c>
      <c r="R75" s="278"/>
      <c r="S75" s="173"/>
    </row>
    <row r="76" spans="1:19" ht="15.75">
      <c r="A76" s="58"/>
      <c r="B76" s="186" t="s">
        <v>94</v>
      </c>
      <c r="C76" s="171">
        <f>1000000*C71/C75/[1]DOUBLE!$D9*[1]DOUBLE!$J9</f>
        <v>1549.0373703244165</v>
      </c>
      <c r="D76" s="171">
        <f>1000000*D71/D75/[1]DOUBLE!$D9*[1]DOUBLE!$J9</f>
        <v>0</v>
      </c>
      <c r="E76" s="173"/>
      <c r="F76" s="199" t="s">
        <v>94</v>
      </c>
      <c r="G76" s="171">
        <f>1000000*G71/G75/[1]DOUBLE!$D9*[1]DOUBLE!$J9</f>
        <v>1494.5561572631168</v>
      </c>
      <c r="H76" s="171">
        <f>1000000*H71/H75/[1]DOUBLE!$D9*[1]DOUBLE!$J9</f>
        <v>0</v>
      </c>
      <c r="I76" s="173"/>
      <c r="J76" s="173"/>
      <c r="K76" s="192"/>
      <c r="L76" s="154"/>
      <c r="M76" s="199"/>
      <c r="N76" s="76" t="s">
        <v>89</v>
      </c>
      <c r="O76" s="265">
        <f>O65</f>
        <v>2000</v>
      </c>
      <c r="P76" s="266"/>
      <c r="Q76" s="265">
        <f>P65</f>
        <v>2000</v>
      </c>
      <c r="R76" s="266"/>
      <c r="S76" s="173"/>
    </row>
    <row r="77" spans="1:19" ht="15.75">
      <c r="A77" s="58"/>
      <c r="B77" s="186" t="s">
        <v>99</v>
      </c>
      <c r="C77" s="171">
        <f>MAX(C76,$K72*C72*$E18)</f>
        <v>1549.0373703244165</v>
      </c>
      <c r="D77" s="171">
        <f>IF(D76=0,0,MAX(D76,$K72*D72*$E18))</f>
        <v>0</v>
      </c>
      <c r="E77" s="173"/>
      <c r="F77" s="199" t="s">
        <v>99</v>
      </c>
      <c r="G77" s="171">
        <f>MAX(G76,$K72*G72*$E18)</f>
        <v>1494.5561572631168</v>
      </c>
      <c r="H77" s="171">
        <f>IF(H76=0,0,MAX(H76,$K72*H72*$E18))</f>
        <v>0</v>
      </c>
      <c r="I77" s="173"/>
      <c r="J77" s="173"/>
      <c r="K77" s="192"/>
      <c r="L77" s="154"/>
      <c r="M77" s="199"/>
      <c r="N77" s="199" t="s">
        <v>109</v>
      </c>
      <c r="O77" s="267">
        <f>100*O68/O76/O64*1.02</f>
        <v>0.22184130718390632</v>
      </c>
      <c r="P77" s="268"/>
      <c r="Q77" s="267">
        <f>100*P68/Q76/P64*1.02</f>
        <v>0.23889280838662991</v>
      </c>
      <c r="R77" s="268"/>
      <c r="S77" s="173"/>
    </row>
    <row r="78" spans="1:19" ht="15.75">
      <c r="A78" s="58"/>
      <c r="B78" s="186" t="s">
        <v>100</v>
      </c>
      <c r="C78" s="204">
        <f>MAX(2,CEILING(C77/PI()*4/C70^2,1))</f>
        <v>14</v>
      </c>
      <c r="D78" s="204">
        <f>MAX(E90,CEILING(D77/PI()*4/D70^2,1))</f>
        <v>8</v>
      </c>
      <c r="E78" s="173"/>
      <c r="F78" s="199" t="s">
        <v>100</v>
      </c>
      <c r="G78" s="204">
        <f>MAX(2,CEILING(G77/PI()*4/G70^2,1))</f>
        <v>14</v>
      </c>
      <c r="H78" s="204">
        <f>MAX(E94,CEILING(H77/PI()*4/H70^2,1))</f>
        <v>8</v>
      </c>
      <c r="I78" s="173"/>
      <c r="J78" s="173"/>
      <c r="K78" s="192"/>
      <c r="L78" s="154"/>
      <c r="M78" s="199"/>
      <c r="N78" s="199" t="s">
        <v>110</v>
      </c>
      <c r="O78" s="193">
        <f>E16-M86</f>
        <v>537.5</v>
      </c>
      <c r="P78" s="217">
        <f>E14-E16-M86</f>
        <v>537.5</v>
      </c>
      <c r="Q78" s="193">
        <f>E17-M86</f>
        <v>537.5</v>
      </c>
      <c r="R78" s="195">
        <f>E15-E17-M86</f>
        <v>537.5</v>
      </c>
      <c r="S78" s="173"/>
    </row>
    <row r="79" spans="1:19" ht="15.75">
      <c r="A79" s="58"/>
      <c r="B79" s="186" t="s">
        <v>111</v>
      </c>
      <c r="C79" s="171">
        <f>PI()/4*C70^2*C78</f>
        <v>1583.3626974092558</v>
      </c>
      <c r="D79" s="171">
        <f>PI()/4*D70^2*D78</f>
        <v>628.31853071795865</v>
      </c>
      <c r="E79" s="173"/>
      <c r="F79" s="199" t="s">
        <v>111</v>
      </c>
      <c r="G79" s="171">
        <f>PI()/4*G70^2*G78</f>
        <v>1583.3626974092558</v>
      </c>
      <c r="H79" s="171">
        <f>PI()/4*H70^2*H78</f>
        <v>628.31853071795865</v>
      </c>
      <c r="I79" s="173"/>
      <c r="J79" s="173"/>
      <c r="K79" s="192"/>
      <c r="L79" s="154"/>
      <c r="M79" s="173"/>
      <c r="N79" s="199" t="s">
        <v>112</v>
      </c>
      <c r="O79" s="193">
        <f>MAX(C58+E58,C59+E59,C60+E60)</f>
        <v>440.41538461538465</v>
      </c>
      <c r="P79" s="217">
        <f>MAX(D58+F58,D59+F59,D60+F60)</f>
        <v>475.78461538461539</v>
      </c>
      <c r="Q79" s="193">
        <f>MAX(C58+D58,C59+D59,C60+D60)</f>
        <v>422.73076923076928</v>
      </c>
      <c r="R79" s="217">
        <f>MAX(E58+F58,E59+F59,E60+F60)</f>
        <v>493.46923076923076</v>
      </c>
      <c r="S79" s="173"/>
    </row>
    <row r="80" spans="1:19" ht="16.5">
      <c r="A80" s="58"/>
      <c r="B80" s="186" t="s">
        <v>103</v>
      </c>
      <c r="C80" s="171">
        <f>2/3*[1]DOUBLE!D9*C76/C79</f>
        <v>300.01851608400204</v>
      </c>
      <c r="D80" s="218" t="str">
        <f>D78&amp;[1]DOUBLE!$M1&amp;D70&amp;" T"&amp;$M69</f>
        <v>8 T10 T1</v>
      </c>
      <c r="E80" s="173"/>
      <c r="F80" s="199" t="s">
        <v>103</v>
      </c>
      <c r="G80" s="171">
        <f>IF(G76=0,0,2/3*[1]DOUBLE!D9*G76/G79)</f>
        <v>289.46656103744027</v>
      </c>
      <c r="H80" s="218" t="str">
        <f>H78&amp;[1]DOUBLE!$M1&amp;H70&amp;" T"&amp;$M70</f>
        <v>8 T10 T2</v>
      </c>
      <c r="I80" s="173"/>
      <c r="J80" s="173"/>
      <c r="K80" s="192"/>
      <c r="L80" s="154"/>
      <c r="M80" s="173"/>
      <c r="N80" s="199" t="s">
        <v>113</v>
      </c>
      <c r="O80" s="205">
        <f>1000*O79/O76/O64</f>
        <v>0.60746949602122013</v>
      </c>
      <c r="P80" s="219">
        <f>1000*P79/O76/O64</f>
        <v>0.65625464190981431</v>
      </c>
      <c r="Q80" s="205">
        <f>1000*Q79/Q76/P64</f>
        <v>0.62626780626780632</v>
      </c>
      <c r="R80" s="219">
        <f>1000*R79/Q76/P64</f>
        <v>0.73106552706552708</v>
      </c>
      <c r="S80" s="173"/>
    </row>
    <row r="81" spans="1:19" ht="15.75">
      <c r="A81" s="58"/>
      <c r="B81" s="186" t="s">
        <v>114</v>
      </c>
      <c r="C81" s="207">
        <f>MIN(47000/C80/MIN(1,G88),300-C70)</f>
        <v>288</v>
      </c>
      <c r="D81" s="207"/>
      <c r="E81" s="173"/>
      <c r="F81" s="199" t="s">
        <v>114</v>
      </c>
      <c r="G81" s="207">
        <f>MIN(47000/G80/MIN(1,G92),300-G70)</f>
        <v>288</v>
      </c>
      <c r="H81" s="207"/>
      <c r="I81" s="173"/>
      <c r="J81" s="173"/>
      <c r="K81" s="192"/>
      <c r="L81" s="220" t="str">
        <f>IF(M32+M33&gt;0,"Spacing failure",".")</f>
        <v>.</v>
      </c>
      <c r="M81" s="199"/>
      <c r="N81" s="199" t="s">
        <v>115</v>
      </c>
      <c r="O81" s="205">
        <f>MAX(1,2*O64/O78)*0.632*MAX(1,400/O64)^0.25*MIN(3,O77)^0.3333333*(MIN([1]DOUBLE!D8,40)/25)^0.3333333</f>
        <v>0.59168166564795632</v>
      </c>
      <c r="P81" s="219">
        <f>MAX(1,2*O64/P78)*0.632*MAX(1,400/O64)^0.25*MIN(3,O77)^0.3333333*(MIN([1]DOUBLE!D8,40)/25)^0.3333333</f>
        <v>0.59168166564795632</v>
      </c>
      <c r="Q81" s="205">
        <f>MAX(1,2*P64/Q78)*0.632*MAX(1,400/P64)^0.25*MIN(3,Q77)^0.3333333*(MIN([1]DOUBLE!D8,40)/25)^0.3333333</f>
        <v>0.57482103960767394</v>
      </c>
      <c r="R81" s="219">
        <f>MAX(1,2*P64/R78)*0.632*MAX(1,400/P64)^0.25*MIN(3,Q77)^0.3333333*(MIN([1]DOUBLE!D8,40)/25)^0.3333333</f>
        <v>0.57482103960767394</v>
      </c>
      <c r="S81" s="173"/>
    </row>
    <row r="82" spans="1:19" ht="15.75">
      <c r="A82" s="58"/>
      <c r="B82" s="186" t="s">
        <v>116</v>
      </c>
      <c r="C82" s="207">
        <f>MAX(25,C70)</f>
        <v>25</v>
      </c>
      <c r="D82" s="207"/>
      <c r="E82" s="173"/>
      <c r="F82" s="199" t="s">
        <v>116</v>
      </c>
      <c r="G82" s="207">
        <f>MAX(25,G70)</f>
        <v>25</v>
      </c>
      <c r="H82" s="207"/>
      <c r="I82" s="173"/>
      <c r="J82" s="173"/>
      <c r="K82" s="192"/>
      <c r="L82" s="154"/>
      <c r="M82" s="199"/>
      <c r="N82" s="199" t="s">
        <v>117</v>
      </c>
      <c r="O82" s="193">
        <f>MAX(O80-O81,0.4)*O76</f>
        <v>800</v>
      </c>
      <c r="P82" s="217">
        <f>MAX(P80-P81,0.4)*O76</f>
        <v>800</v>
      </c>
      <c r="Q82" s="193">
        <f>MAX(Q80-Q81,0.4)*Q76</f>
        <v>800</v>
      </c>
      <c r="R82" s="217">
        <f>MAX(R80-R81,0.4)*Q76</f>
        <v>800</v>
      </c>
      <c r="S82" s="173"/>
    </row>
    <row r="83" spans="1:19" ht="15.75">
      <c r="A83" s="58"/>
      <c r="B83" s="186" t="s">
        <v>118</v>
      </c>
      <c r="C83" s="169">
        <f>(C72-2*([1]DOUBLE!G9+D87)-C78*C70)/(C78-1)</f>
        <v>132</v>
      </c>
      <c r="D83" s="169"/>
      <c r="E83" s="173"/>
      <c r="F83" s="199" t="s">
        <v>118</v>
      </c>
      <c r="G83" s="169">
        <f>(G72-2*([1]DOUBLE!G9+D87)-G78*G70)/(G78-1)</f>
        <v>132</v>
      </c>
      <c r="H83" s="169"/>
      <c r="I83" s="173"/>
      <c r="J83" s="173"/>
      <c r="K83" s="192"/>
      <c r="L83" s="154"/>
      <c r="M83" s="199"/>
      <c r="N83" s="199" t="s">
        <v>119</v>
      </c>
      <c r="O83" s="269">
        <f>[1]DOUBLE!J9/[1]DOUBLE!D9*MAX(O82:P82)</f>
        <v>1.8260869565217392</v>
      </c>
      <c r="P83" s="270"/>
      <c r="Q83" s="269">
        <f>[1]DOUBLE!J9/[1]DOUBLE!D9*MAX(Q82:R82)</f>
        <v>1.8260869565217392</v>
      </c>
      <c r="R83" s="270"/>
      <c r="S83" s="173"/>
    </row>
    <row r="84" spans="1:19" ht="18">
      <c r="A84" s="58"/>
      <c r="B84" s="186"/>
      <c r="C84" s="218" t="str">
        <f>C78&amp;[1]DOUBLE!M1&amp;C70&amp;" B"&amp;M69</f>
        <v>14 T12 B1</v>
      </c>
      <c r="D84" s="221"/>
      <c r="E84" s="173"/>
      <c r="F84" s="199"/>
      <c r="G84" s="218" t="str">
        <f>G78&amp;[1]DOUBLE!M1&amp;G70&amp;" B"&amp;M70</f>
        <v>14 T12 B2</v>
      </c>
      <c r="H84" s="221"/>
      <c r="I84" s="173"/>
      <c r="J84" s="173"/>
      <c r="K84" s="192"/>
      <c r="L84" s="154"/>
      <c r="M84" s="199"/>
      <c r="N84" s="199" t="s">
        <v>120</v>
      </c>
      <c r="O84" s="263">
        <f>(O76-2*[1]DOUBLE!G9-20-C70)/(Q70-1)</f>
        <v>143.69230769230768</v>
      </c>
      <c r="P84" s="264"/>
      <c r="Q84" s="263">
        <f>(Q76-2*[1]DOUBLE!G9-20-G70)/(R70-1)</f>
        <v>143.69230769230768</v>
      </c>
      <c r="R84" s="264"/>
      <c r="S84" s="173"/>
    </row>
    <row r="85" spans="1:19" ht="15.75">
      <c r="A85" s="58"/>
      <c r="B85" s="186" t="s">
        <v>0</v>
      </c>
      <c r="C85" s="173"/>
      <c r="D85" s="173"/>
      <c r="E85" s="173"/>
      <c r="F85" s="199"/>
      <c r="G85" s="173"/>
      <c r="H85" s="173"/>
      <c r="I85" s="173"/>
      <c r="J85" s="173"/>
      <c r="K85" s="192"/>
      <c r="L85" s="154"/>
      <c r="M85" s="199"/>
      <c r="N85" s="199"/>
      <c r="O85" s="255">
        <f>CEILING((Q70-1)/FLOOR(300/O84,1)+1,1)</f>
        <v>8</v>
      </c>
      <c r="P85" s="256"/>
      <c r="Q85" s="255">
        <f>CEILING((R70-1)/FLOOR(300/Q84,1)+1,1)</f>
        <v>8</v>
      </c>
      <c r="R85" s="256"/>
      <c r="S85" s="173"/>
    </row>
    <row r="86" spans="1:19" ht="15.75">
      <c r="A86" s="58"/>
      <c r="B86" s="181" t="s">
        <v>121</v>
      </c>
      <c r="C86" s="173"/>
      <c r="D86" s="222" t="str">
        <f>"Critical section is "&amp;M86&amp;" mm from pile centres"</f>
        <v>Critical section is 112.5 mm from pile centres</v>
      </c>
      <c r="F86" s="170"/>
      <c r="G86" s="173"/>
      <c r="J86" s="173"/>
      <c r="K86" s="192"/>
      <c r="L86" s="154"/>
      <c r="M86" s="223">
        <f>0.3*C17</f>
        <v>112.5</v>
      </c>
      <c r="N86" s="199" t="s">
        <v>122</v>
      </c>
      <c r="O86" s="255">
        <f>MAX(ROUNDUP((O76-2*[1]DOUBLE!G9-12)/MIN(450,O64),0),2,O85)</f>
        <v>8</v>
      </c>
      <c r="P86" s="256"/>
      <c r="Q86" s="255">
        <f>MAX(ROUNDUP((Q76-2*[1]DOUBLE!G9-12)/MIN(450,P64),0),2,Q85)</f>
        <v>8</v>
      </c>
      <c r="R86" s="256"/>
      <c r="S86" s="173"/>
    </row>
    <row r="87" spans="1:19" ht="15.75">
      <c r="A87" s="58"/>
      <c r="B87" s="224" t="str">
        <f>O75</f>
        <v>EW (NS plane)</v>
      </c>
      <c r="D87" s="225">
        <f>VLOOKUP(MAX(O88,Q88),[1]DOUBLE!O1:P8,2)</f>
        <v>8</v>
      </c>
      <c r="E87" s="173" t="s">
        <v>123</v>
      </c>
      <c r="F87" s="171"/>
      <c r="G87" s="171"/>
      <c r="H87" s="171"/>
      <c r="I87" s="171"/>
      <c r="J87" s="171"/>
      <c r="K87" s="192"/>
      <c r="L87" s="154"/>
      <c r="M87" s="226"/>
      <c r="N87" s="199" t="s">
        <v>124</v>
      </c>
      <c r="O87" s="255">
        <f>MIN(1+Q70,O86)</f>
        <v>8</v>
      </c>
      <c r="P87" s="256"/>
      <c r="Q87" s="255">
        <f>MIN(1+R70,Q86)</f>
        <v>8</v>
      </c>
      <c r="R87" s="256"/>
      <c r="S87" s="173"/>
    </row>
    <row r="88" spans="1:19" ht="15.75">
      <c r="A88" s="58"/>
      <c r="B88" s="186" t="s">
        <v>112</v>
      </c>
      <c r="C88" s="223">
        <f>IF(MAX(O89:P89)=O89,O79,P79)</f>
        <v>475.78461538461539</v>
      </c>
      <c r="D88" s="76" t="s">
        <v>113</v>
      </c>
      <c r="E88" s="227">
        <f>1000*C88/C72/C73</f>
        <v>0.64469460079216179</v>
      </c>
      <c r="F88" s="136" t="s">
        <v>125</v>
      </c>
      <c r="G88" s="228">
        <f>100*C79/C72/C73</f>
        <v>0.21454779097686394</v>
      </c>
      <c r="H88" s="229" t="str">
        <f>IF(C88=0,"NO CRITICAL SHEAR PLANE",".")</f>
        <v>.</v>
      </c>
      <c r="I88" s="173"/>
      <c r="J88" s="173"/>
      <c r="K88" s="192"/>
      <c r="L88" s="154"/>
      <c r="M88" s="226"/>
      <c r="N88" s="177" t="s">
        <v>126</v>
      </c>
      <c r="O88" s="257">
        <f>O83*MIN(0.75*O64,450)/O87</f>
        <v>62.058423913043484</v>
      </c>
      <c r="P88" s="258"/>
      <c r="Q88" s="257">
        <f>Q83*MIN(0.75*P64,450)/Q87</f>
        <v>57.778532608695656</v>
      </c>
      <c r="R88" s="258"/>
      <c r="S88" s="173"/>
    </row>
    <row r="89" spans="1:19" ht="15.75">
      <c r="A89" s="58"/>
      <c r="B89" s="186" t="s">
        <v>127</v>
      </c>
      <c r="C89" s="230">
        <f>IF(MAX(O89:P89)=O89,O78,P78)</f>
        <v>537.5</v>
      </c>
      <c r="D89" s="231" t="str">
        <f>IF(2*C$81&gt;C89,"vc 2d/av =","vc =")</f>
        <v>vc 2d/av =</v>
      </c>
      <c r="E89" s="227">
        <f>MAX(1,2*C73/C89)*0.632*MAX(1,400/C73)^0.25*MIN(3,G88)^0.3333333*(MIN([1]DOUBLE!D8,40)/25)^0.3333333</f>
        <v>0.59297641878938201</v>
      </c>
      <c r="F89" s="76" t="s">
        <v>117</v>
      </c>
      <c r="G89" s="232">
        <f>MAX(E88-E89,0.4)*C72</f>
        <v>800</v>
      </c>
      <c r="H89" s="229"/>
      <c r="I89" s="171"/>
      <c r="J89" s="171"/>
      <c r="K89" s="192"/>
      <c r="L89" s="154"/>
      <c r="M89" s="226"/>
      <c r="N89" s="173"/>
      <c r="O89" s="169">
        <f>MAX(O80-O81)*O76</f>
        <v>31.575660746527625</v>
      </c>
      <c r="P89" s="169">
        <f>MAX(P80-P81)*O76</f>
        <v>129.14595252371598</v>
      </c>
      <c r="Q89" s="169">
        <f>MAX(Q80-Q81)*Q76</f>
        <v>102.89353332026474</v>
      </c>
      <c r="R89" s="169">
        <f>MAX(R80-R81)*Q76</f>
        <v>312.48897491570625</v>
      </c>
      <c r="S89" s="173"/>
    </row>
    <row r="90" spans="1:19" ht="16.5">
      <c r="A90" s="58"/>
      <c r="B90" s="186"/>
      <c r="D90" s="76" t="s">
        <v>128</v>
      </c>
      <c r="E90" s="170">
        <f>MIN(O87,C78)</f>
        <v>8</v>
      </c>
      <c r="F90" s="76" t="s">
        <v>129</v>
      </c>
      <c r="G90" s="170">
        <f>FLOOR(PI()/4*D87^2*[1]DOUBLE!D9/[1]DOUBLE!J9/MAX(E88-E89,E92-E93,0.4)/C72*E90,25)</f>
        <v>200</v>
      </c>
      <c r="H90" s="233" t="str">
        <f>E90&amp;" Legs"&amp;[1]DOUBLE!M1&amp;D87&amp;" @ "&amp;G90&amp;" LINKS"</f>
        <v>8 Legs T8 @ 200 LINKS</v>
      </c>
      <c r="I90" s="173"/>
      <c r="J90" s="173"/>
      <c r="K90" s="192"/>
      <c r="L90" s="154"/>
      <c r="M90" s="226" t="str">
        <f>FIXED(PI()/4*D$87^2*E90/G90*[1]DOUBLE!D$9/[1]DOUBLE!J$9,1)</f>
        <v>880.8</v>
      </c>
      <c r="N90" s="182"/>
      <c r="O90" s="259"/>
      <c r="P90" s="259"/>
      <c r="Q90" s="259"/>
      <c r="R90" s="259"/>
      <c r="S90" s="259"/>
    </row>
    <row r="91" spans="1:19" ht="15.75">
      <c r="A91" s="58"/>
      <c r="B91" s="224" t="str">
        <f>Q75</f>
        <v>NS (EW plane)</v>
      </c>
      <c r="C91" s="225"/>
      <c r="D91" s="173"/>
      <c r="E91" s="171"/>
      <c r="F91" s="234"/>
      <c r="G91" s="171"/>
      <c r="H91" s="171"/>
      <c r="I91" s="171"/>
      <c r="J91" s="171"/>
      <c r="K91" s="192"/>
      <c r="L91" s="154"/>
      <c r="M91" s="235"/>
      <c r="N91" s="76"/>
      <c r="O91" s="182"/>
      <c r="P91" s="182"/>
      <c r="Q91" s="182"/>
      <c r="R91" s="182"/>
      <c r="S91" s="182"/>
    </row>
    <row r="92" spans="1:19" ht="15.75">
      <c r="A92" s="58"/>
      <c r="B92" s="186" t="s">
        <v>112</v>
      </c>
      <c r="C92" s="223">
        <f>IF(MAX(Q89:R89)=Q89,Q79,R79)</f>
        <v>493.46923076923076</v>
      </c>
      <c r="D92" s="76" t="s">
        <v>113</v>
      </c>
      <c r="E92" s="227">
        <f>1000*C92/G72/G73</f>
        <v>0.69113337642749406</v>
      </c>
      <c r="F92" s="236" t="s">
        <v>125</v>
      </c>
      <c r="G92" s="237">
        <f>100*G79/G72/G73</f>
        <v>0.22175948142986776</v>
      </c>
      <c r="H92" s="229" t="str">
        <f>IF(C92=0,"NO CRITICAL SHEAR PLANE",".")</f>
        <v>.</v>
      </c>
      <c r="I92" s="173"/>
      <c r="J92" s="173"/>
      <c r="K92" s="192"/>
      <c r="L92" s="154"/>
      <c r="M92" s="170"/>
      <c r="N92" s="76"/>
      <c r="O92" s="194"/>
      <c r="P92" s="194"/>
      <c r="Q92" s="194"/>
      <c r="R92" s="194"/>
      <c r="S92" s="194"/>
    </row>
    <row r="93" spans="1:19" ht="15.75">
      <c r="A93" s="58"/>
      <c r="B93" s="186" t="s">
        <v>127</v>
      </c>
      <c r="C93" s="230">
        <f>IF(MAX(Q89:R89)=Q89,Q78,R78)</f>
        <v>537.5</v>
      </c>
      <c r="D93" s="231" t="str">
        <f>IF(2*C$81&gt;C93,"vc 2d/av =","vc =")</f>
        <v>vc 2d/av =</v>
      </c>
      <c r="E93" s="227">
        <f>MAX(1,2*G73/C93)*0.632*MAX(1,400/C73)^0.25*MIN(3,G92)^0.3333333*(MIN([1]DOUBLE!D8,40)/25)^0.3333333</f>
        <v>0.58004985474922088</v>
      </c>
      <c r="F93" s="76" t="s">
        <v>117</v>
      </c>
      <c r="G93" s="232">
        <f>MAX(E92-E93,0.4)*G72</f>
        <v>800</v>
      </c>
      <c r="H93" s="229"/>
      <c r="I93" s="173"/>
      <c r="J93" s="173"/>
      <c r="K93" s="192"/>
      <c r="L93" s="154"/>
      <c r="N93" s="76"/>
      <c r="O93" s="182"/>
      <c r="P93" s="182"/>
      <c r="Q93" s="182"/>
      <c r="R93" s="182"/>
      <c r="S93" s="182"/>
    </row>
    <row r="94" spans="1:19" ht="16.5">
      <c r="A94" s="58"/>
      <c r="B94" s="186"/>
      <c r="D94" s="76" t="s">
        <v>128</v>
      </c>
      <c r="E94" s="170">
        <f>MIN(Q87,G78)</f>
        <v>8</v>
      </c>
      <c r="F94" s="76" t="s">
        <v>129</v>
      </c>
      <c r="G94" s="170">
        <f>FLOOR(PI()/4*D87^2*[1]DOUBLE!D9/[1]DOUBLE!J9/MAX(E88-E89,E92-E93,0.4)/G72*E94,25)</f>
        <v>200</v>
      </c>
      <c r="H94" s="233" t="str">
        <f>E94&amp;" Legs"&amp;[1]DOUBLE!M1&amp;D87&amp;" @ "&amp;G94&amp;" LINKS"</f>
        <v>8 Legs T8 @ 200 LINKS</v>
      </c>
      <c r="I94" s="173"/>
      <c r="J94" s="173"/>
      <c r="K94" s="192"/>
      <c r="L94" s="154"/>
      <c r="M94" s="226" t="str">
        <f>FIXED(PI()/4*D$87^2*E94/G94*[1]DOUBLE!D$9/[1]DOUBLE!J$9,1)</f>
        <v>880.8</v>
      </c>
      <c r="N94" s="76"/>
      <c r="O94" s="194"/>
      <c r="P94" s="194"/>
      <c r="Q94" s="194"/>
      <c r="R94" s="194"/>
      <c r="S94" s="194"/>
    </row>
    <row r="95" spans="1:19" ht="15.75">
      <c r="A95" s="58"/>
      <c r="B95" s="186"/>
      <c r="C95" s="171"/>
      <c r="D95" s="171"/>
      <c r="E95" s="173"/>
      <c r="F95" s="199"/>
      <c r="G95" s="171"/>
      <c r="H95" s="171"/>
      <c r="I95" s="173"/>
      <c r="J95" s="173"/>
      <c r="K95" s="192"/>
      <c r="L95" s="154"/>
      <c r="M95" s="199"/>
      <c r="N95" s="136" t="s">
        <v>130</v>
      </c>
      <c r="O95" s="238">
        <f>MIN(E16-C14/2,E14-E16-C14/2,E17-C15/2,E15-E17-C15/2)-0.3*C17</f>
        <v>337.5</v>
      </c>
      <c r="P95" s="194"/>
      <c r="Q95" s="182"/>
      <c r="R95" s="182"/>
      <c r="S95" s="182"/>
    </row>
    <row r="96" spans="1:19" ht="15.75">
      <c r="A96" s="58"/>
      <c r="B96" s="181" t="s">
        <v>131</v>
      </c>
      <c r="C96" s="239" t="s">
        <v>132</v>
      </c>
      <c r="E96" s="76"/>
      <c r="F96" s="240" t="str">
        <f>IF(O95&gt;O96,"At 1.5 d",IF(MAX(E14:E15)&gt;3*C17,"At Fig 3.23 critical section","No other critical section"))</f>
        <v>At Fig 3.23 critical section</v>
      </c>
      <c r="G96" s="199"/>
      <c r="H96" s="170"/>
      <c r="I96" s="173"/>
      <c r="J96" s="173"/>
      <c r="K96" s="192"/>
      <c r="L96" s="154"/>
      <c r="N96" s="136" t="s">
        <v>133</v>
      </c>
      <c r="O96" s="238">
        <f>0.75*(C73+G73)</f>
        <v>544.5</v>
      </c>
      <c r="P96" s="194"/>
    </row>
    <row r="97" spans="1:16" ht="15.75">
      <c r="A97" s="58"/>
      <c r="B97" s="186" t="s">
        <v>112</v>
      </c>
      <c r="C97" s="238">
        <f>MAX(1.4*C22+1.6*D22,C22+1.4*E22,1.2*SUM(C22:E22))</f>
        <v>916.2</v>
      </c>
      <c r="E97" s="241" t="s">
        <v>134</v>
      </c>
      <c r="F97" s="242">
        <f>2*(O97+O98)</f>
        <v>4300</v>
      </c>
      <c r="G97" s="76" t="s">
        <v>135</v>
      </c>
      <c r="H97" s="170">
        <f>(C73+G73)/2</f>
        <v>363</v>
      </c>
      <c r="I97" s="173"/>
      <c r="J97" s="173"/>
      <c r="K97" s="192"/>
      <c r="L97" s="154"/>
      <c r="N97" s="76" t="s">
        <v>136</v>
      </c>
      <c r="O97" s="238">
        <f>MIN(O96+C14/2,E16-0.3*C17)+MIN(O96+C14/2,E14-E16-0.3*C17)</f>
        <v>1075</v>
      </c>
      <c r="P97" s="232">
        <f>E14/2-0.3*C17</f>
        <v>537.5</v>
      </c>
    </row>
    <row r="98" spans="1:16" ht="15.75">
      <c r="A98" s="58"/>
      <c r="B98" s="186" t="s">
        <v>113</v>
      </c>
      <c r="C98" s="237">
        <f>1000*C97/(C14+C15)/(C73+G73)</f>
        <v>1.8028335301062575</v>
      </c>
      <c r="E98" s="177" t="s">
        <v>113</v>
      </c>
      <c r="F98" s="237">
        <f>IF(F96="No other critical section",0,1000*C97/F97/H97)</f>
        <v>0.58696905631366525</v>
      </c>
      <c r="G98" s="136" t="s">
        <v>127</v>
      </c>
      <c r="H98" s="238">
        <f>(P97+P98)/2</f>
        <v>537.5</v>
      </c>
      <c r="I98" s="173"/>
      <c r="J98" s="173"/>
      <c r="K98" s="192"/>
      <c r="L98" s="154"/>
      <c r="N98" s="76" t="s">
        <v>137</v>
      </c>
      <c r="O98" s="238">
        <f>MIN(O96+C15/2,E17-0.3*C17)+MIN(O96+C15/2,E15-E17-0.3*C17)</f>
        <v>1075</v>
      </c>
      <c r="P98" s="232">
        <f>E15/2-0.3*C17</f>
        <v>537.5</v>
      </c>
    </row>
    <row r="99" spans="1:16" ht="15.75">
      <c r="A99" s="58"/>
      <c r="B99" s="186" t="s">
        <v>138</v>
      </c>
      <c r="C99" s="237">
        <f>[1]DOUBLE!N5</f>
        <v>4.7328638264796927</v>
      </c>
      <c r="D99" s="243" t="str">
        <f>IF(C98&gt;C99,"FAILS","ok")</f>
        <v>ok</v>
      </c>
      <c r="E99" s="231" t="s">
        <v>115</v>
      </c>
      <c r="F99" s="237">
        <f>MAX(1,2*H97/H98)*0.632*MAX(1,400/H97)^0.25*MIN(3,O99)^0.3333333*(MIN([1]DOUBLE!D$8,40)/25)^0.3333333</f>
        <v>0.58899338843909499</v>
      </c>
      <c r="G99" s="199"/>
      <c r="H99" s="243" t="str">
        <f>IF(F98&gt;F99,"FAILS","ok")</f>
        <v>ok</v>
      </c>
      <c r="I99" s="173"/>
      <c r="J99" s="173"/>
      <c r="K99" s="192"/>
      <c r="L99" s="154"/>
      <c r="N99" s="241" t="s">
        <v>139</v>
      </c>
      <c r="O99" s="244">
        <f>100*(C79/C73/C72+G79/G73/G72)/2</f>
        <v>0.21815363620336584</v>
      </c>
      <c r="P99" s="194"/>
    </row>
    <row r="100" spans="1:16" ht="15.75" thickBot="1">
      <c r="A100" s="141"/>
      <c r="B100" s="245"/>
      <c r="C100" s="246"/>
      <c r="D100" s="247"/>
      <c r="E100" s="248"/>
      <c r="F100" s="246"/>
      <c r="G100" s="249"/>
      <c r="H100" s="247"/>
      <c r="I100" s="250"/>
      <c r="J100" s="250"/>
      <c r="K100" s="251"/>
      <c r="L100" s="252"/>
    </row>
    <row r="101" spans="1:16" ht="16.5" thickTop="1">
      <c r="A101" s="253"/>
      <c r="B101" s="253"/>
      <c r="C101" s="253"/>
      <c r="D101" s="253"/>
      <c r="E101" s="253"/>
      <c r="F101" s="253"/>
      <c r="G101" s="253"/>
      <c r="H101" s="253"/>
      <c r="I101" s="253"/>
      <c r="J101" s="253"/>
      <c r="K101" s="253"/>
      <c r="L101" s="253"/>
    </row>
    <row r="102" spans="1:16">
      <c r="C102" s="254"/>
      <c r="D102" s="254"/>
      <c r="E102" s="254"/>
      <c r="F102" s="254"/>
      <c r="G102" s="254"/>
    </row>
    <row r="103" spans="1:16" s="1" customFormat="1" ht="15.75">
      <c r="C103" s="23"/>
      <c r="D103" s="23"/>
      <c r="E103" s="24" t="s">
        <v>143</v>
      </c>
      <c r="F103" s="23"/>
      <c r="G103" s="23"/>
    </row>
    <row r="104" spans="1:16" s="1" customFormat="1" ht="15.75">
      <c r="C104" s="23"/>
      <c r="D104" s="23"/>
      <c r="E104" s="25" t="s">
        <v>144</v>
      </c>
      <c r="F104" s="23"/>
      <c r="G104" s="23"/>
    </row>
    <row r="105" spans="1:16" s="1" customFormat="1" ht="18.75">
      <c r="C105" s="23"/>
      <c r="D105" s="23"/>
      <c r="E105" s="22" t="s">
        <v>145</v>
      </c>
      <c r="F105" s="23"/>
      <c r="G105" s="23"/>
    </row>
    <row r="106" spans="1:16" s="1" customFormat="1" ht="20.25">
      <c r="C106" s="23"/>
      <c r="D106" s="23"/>
      <c r="E106" s="26" t="s">
        <v>140</v>
      </c>
      <c r="F106" s="23"/>
      <c r="G106" s="23"/>
    </row>
    <row r="107" spans="1:16" s="1" customFormat="1" ht="15.75">
      <c r="C107" s="23"/>
      <c r="D107" s="23"/>
      <c r="E107" s="24" t="s">
        <v>141</v>
      </c>
      <c r="F107" s="23"/>
      <c r="G107" s="23"/>
    </row>
    <row r="108" spans="1:16">
      <c r="C108" s="254"/>
      <c r="D108" s="254"/>
      <c r="E108" s="254"/>
      <c r="F108" s="254"/>
      <c r="G108" s="254"/>
    </row>
  </sheetData>
  <sheetProtection algorithmName="SHA-512" hashValue="ZdLzCglDU1wCKykpt4zwwSLXjKXW8+TnAdk6+swPNSbxaQleRdgFcVlQH7qe/HdL7xq5dXI5a2M1Ggqfqi90qw==" saltValue="jAtMcIuVzHVh6q9Ys4+1Sw==" spinCount="100000" sheet="1" objects="1" scenarios="1"/>
  <mergeCells count="53">
    <mergeCell ref="L9:L10"/>
    <mergeCell ref="D12:E12"/>
    <mergeCell ref="B13:C13"/>
    <mergeCell ref="G46:H47"/>
    <mergeCell ref="I46:K46"/>
    <mergeCell ref="G6:H7"/>
    <mergeCell ref="I6:K6"/>
    <mergeCell ref="G8:H9"/>
    <mergeCell ref="N19:Q19"/>
    <mergeCell ref="J20:K20"/>
    <mergeCell ref="H22:K23"/>
    <mergeCell ref="H35:J35"/>
    <mergeCell ref="H43:J43"/>
    <mergeCell ref="G66:H66"/>
    <mergeCell ref="G48:H49"/>
    <mergeCell ref="O62:P62"/>
    <mergeCell ref="C63:D63"/>
    <mergeCell ref="E63:F63"/>
    <mergeCell ref="G63:H63"/>
    <mergeCell ref="C64:D64"/>
    <mergeCell ref="E64:F64"/>
    <mergeCell ref="G64:H64"/>
    <mergeCell ref="O85:P85"/>
    <mergeCell ref="Q85:R85"/>
    <mergeCell ref="O86:P86"/>
    <mergeCell ref="Q86:R86"/>
    <mergeCell ref="O76:P76"/>
    <mergeCell ref="Q76:R76"/>
    <mergeCell ref="O77:P77"/>
    <mergeCell ref="Q77:R77"/>
    <mergeCell ref="O83:P83"/>
    <mergeCell ref="Q83:R83"/>
    <mergeCell ref="A1:XFD2"/>
    <mergeCell ref="A3:XFD3"/>
    <mergeCell ref="A4:XFD4"/>
    <mergeCell ref="O84:P84"/>
    <mergeCell ref="Q84:R84"/>
    <mergeCell ref="C67:D67"/>
    <mergeCell ref="E67:F67"/>
    <mergeCell ref="G67:H67"/>
    <mergeCell ref="O74:R74"/>
    <mergeCell ref="O75:P75"/>
    <mergeCell ref="Q75:R75"/>
    <mergeCell ref="C65:D65"/>
    <mergeCell ref="E65:F65"/>
    <mergeCell ref="G65:H65"/>
    <mergeCell ref="C66:D66"/>
    <mergeCell ref="E66:F66"/>
    <mergeCell ref="O87:P87"/>
    <mergeCell ref="Q87:R87"/>
    <mergeCell ref="O88:P88"/>
    <mergeCell ref="Q88:R88"/>
    <mergeCell ref="O90:S90"/>
  </mergeCells>
  <conditionalFormatting sqref="E15">
    <cfRule type="cellIs" dxfId="26" priority="1" stopIfTrue="1" operator="equal">
      <formula>$E$14</formula>
    </cfRule>
  </conditionalFormatting>
  <conditionalFormatting sqref="C56:F56">
    <cfRule type="cellIs" dxfId="25" priority="2" stopIfTrue="1" operator="greaterThan">
      <formula>$D$14</formula>
    </cfRule>
    <cfRule type="cellIs" dxfId="24" priority="3" stopIfTrue="1" operator="lessThan">
      <formula>0</formula>
    </cfRule>
  </conditionalFormatting>
  <conditionalFormatting sqref="C57:F57">
    <cfRule type="cellIs" dxfId="23" priority="4" stopIfTrue="1" operator="greaterThan">
      <formula>$D$14*1.25</formula>
    </cfRule>
    <cfRule type="cellIs" dxfId="22" priority="5" stopIfTrue="1" operator="lessThan">
      <formula>0</formula>
    </cfRule>
  </conditionalFormatting>
  <conditionalFormatting sqref="C58:F60">
    <cfRule type="cellIs" dxfId="21" priority="6" stopIfTrue="1" operator="lessThan">
      <formula>0</formula>
    </cfRule>
  </conditionalFormatting>
  <conditionalFormatting sqref="C81:D81 H81">
    <cfRule type="cellIs" dxfId="20" priority="7" stopIfTrue="1" operator="lessThan">
      <formula>C83</formula>
    </cfRule>
  </conditionalFormatting>
  <conditionalFormatting sqref="G81">
    <cfRule type="cellIs" dxfId="19" priority="8" stopIfTrue="1" operator="lessThan">
      <formula>$G$83</formula>
    </cfRule>
  </conditionalFormatting>
  <conditionalFormatting sqref="C82:D82 H82">
    <cfRule type="cellIs" dxfId="18" priority="9" stopIfTrue="1" operator="greaterThan">
      <formula>$C$83</formula>
    </cfRule>
  </conditionalFormatting>
  <conditionalFormatting sqref="G82">
    <cfRule type="cellIs" dxfId="17" priority="10" stopIfTrue="1" operator="greaterThan">
      <formula>$G$83</formula>
    </cfRule>
  </conditionalFormatting>
  <conditionalFormatting sqref="C32">
    <cfRule type="expression" dxfId="16" priority="11" stopIfTrue="1">
      <formula>$E$89&gt;$G$89</formula>
    </cfRule>
  </conditionalFormatting>
  <conditionalFormatting sqref="C40">
    <cfRule type="expression" dxfId="15" priority="12" stopIfTrue="1">
      <formula>$E$93&gt;$G$93</formula>
    </cfRule>
  </conditionalFormatting>
  <conditionalFormatting sqref="L21">
    <cfRule type="expression" dxfId="14" priority="13" stopIfTrue="1">
      <formula>MIN($M$18,$E$14)&lt;$C$18</formula>
    </cfRule>
  </conditionalFormatting>
  <conditionalFormatting sqref="E16:E17">
    <cfRule type="cellIs" dxfId="13" priority="14" stopIfTrue="1" operator="equal">
      <formula>$M9</formula>
    </cfRule>
  </conditionalFormatting>
  <conditionalFormatting sqref="H26:K26">
    <cfRule type="cellIs" dxfId="12" priority="15" stopIfTrue="1" operator="greaterThan">
      <formula>$M$12</formula>
    </cfRule>
    <cfRule type="cellIs" dxfId="11" priority="16" stopIfTrue="1" operator="lessThan">
      <formula>0</formula>
    </cfRule>
  </conditionalFormatting>
  <conditionalFormatting sqref="H27:K27">
    <cfRule type="cellIs" dxfId="10" priority="17" stopIfTrue="1" operator="greaterThan">
      <formula>$M$12*1.25</formula>
    </cfRule>
    <cfRule type="cellIs" dxfId="9" priority="18" stopIfTrue="1" operator="lessThan">
      <formula>0</formula>
    </cfRule>
  </conditionalFormatting>
  <conditionalFormatting sqref="D90:H90">
    <cfRule type="expression" dxfId="8" priority="19" stopIfTrue="1">
      <formula>$M$69=1</formula>
    </cfRule>
  </conditionalFormatting>
  <conditionalFormatting sqref="D94:H94">
    <cfRule type="expression" dxfId="7" priority="20" stopIfTrue="1">
      <formula>$M$69=2</formula>
    </cfRule>
  </conditionalFormatting>
  <conditionalFormatting sqref="D35:E35">
    <cfRule type="expression" dxfId="6" priority="21" stopIfTrue="1">
      <formula>$M$69=1</formula>
    </cfRule>
  </conditionalFormatting>
  <conditionalFormatting sqref="E43">
    <cfRule type="expression" dxfId="5" priority="22" stopIfTrue="1">
      <formula>$M$69=2</formula>
    </cfRule>
  </conditionalFormatting>
  <conditionalFormatting sqref="H22:K23">
    <cfRule type="cellIs" dxfId="4" priority="23" stopIfTrue="1" operator="equal">
      <formula>"VALID DESIGN"</formula>
    </cfRule>
    <cfRule type="cellIs" dxfId="3" priority="24" stopIfTrue="1" operator="equal">
      <formula>"PILE IN TENSION."</formula>
    </cfRule>
  </conditionalFormatting>
  <conditionalFormatting sqref="D99">
    <cfRule type="cellIs" dxfId="2" priority="25" stopIfTrue="1" operator="equal">
      <formula>"ok"</formula>
    </cfRule>
  </conditionalFormatting>
  <conditionalFormatting sqref="E96:E99 G96:H99 F97:F99">
    <cfRule type="cellIs" dxfId="1" priority="26" stopIfTrue="1" operator="equal">
      <formula>"ok"</formula>
    </cfRule>
    <cfRule type="expression" dxfId="0" priority="27" stopIfTrue="1">
      <formula>$F$96="No other critical section"</formula>
    </cfRule>
  </conditionalFormatting>
  <pageMargins left="0.7" right="0.7" top="0.75" bottom="0.75" header="0.3" footer="0.3"/>
  <pageSetup orientation="portrait" horizontalDpi="4294967295" verticalDpi="4294967295" r:id="rId1"/>
  <drawing r:id="rId2"/>
  <legacyDrawing r:id="rId3"/>
  <oleObjects>
    <mc:AlternateContent xmlns:mc="http://schemas.openxmlformats.org/markup-compatibility/2006">
      <mc:Choice Requires="x14">
        <oleObject progId="CorelDRAW.Graphic.9" shapeId="1025" r:id="rId4">
          <objectPr defaultSize="0" autoPict="0" r:id="rId5">
            <anchor moveWithCells="1">
              <from>
                <xdr:col>11</xdr:col>
                <xdr:colOff>295275</xdr:colOff>
                <xdr:row>23</xdr:row>
                <xdr:rowOff>57150</xdr:rowOff>
              </from>
              <to>
                <xdr:col>11</xdr:col>
                <xdr:colOff>1543050</xdr:colOff>
                <xdr:row>26</xdr:row>
                <xdr:rowOff>200025</xdr:rowOff>
              </to>
            </anchor>
          </objectPr>
        </oleObject>
      </mc:Choice>
      <mc:Fallback>
        <oleObject progId="CorelDRAW.Graphic.9" shapeId="1025" r:id="rId4"/>
      </mc:Fallback>
    </mc:AlternateContent>
    <mc:AlternateContent xmlns:mc="http://schemas.openxmlformats.org/markup-compatibility/2006">
      <mc:Choice Requires="x14">
        <oleObject progId="CorelDRAW.Graphic.9" shapeId="1027" r:id="rId6">
          <objectPr defaultSize="0" autoPict="0" r:id="rId7">
            <anchor moveWithCells="1">
              <from>
                <xdr:col>8</xdr:col>
                <xdr:colOff>133350</xdr:colOff>
                <xdr:row>10</xdr:row>
                <xdr:rowOff>85725</xdr:rowOff>
              </from>
              <to>
                <xdr:col>11</xdr:col>
                <xdr:colOff>342900</xdr:colOff>
                <xdr:row>18</xdr:row>
                <xdr:rowOff>219075</xdr:rowOff>
              </to>
            </anchor>
          </objectPr>
        </oleObject>
      </mc:Choice>
      <mc:Fallback>
        <oleObject progId="CorelDRAW.Graphic.9" shapeId="1027" r:id="rId6"/>
      </mc:Fallback>
    </mc:AlternateContent>
  </oleObjects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8" r:id="rId8" name="Button 4">
              <controlPr defaultSize="0" print="0" autoFill="0" autoPict="0" macro="[1]!Summary4">
                <anchor moveWithCells="1">
                  <from>
                    <xdr:col>11</xdr:col>
                    <xdr:colOff>600075</xdr:colOff>
                    <xdr:row>17</xdr:row>
                    <xdr:rowOff>57150</xdr:rowOff>
                  </from>
                  <to>
                    <xdr:col>11</xdr:col>
                    <xdr:colOff>1581150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9" name="Button 5">
              <controlPr defaultSize="0" print="0" autoFill="0" autoPict="0" macro="[1]!Details4">
                <anchor moveWithCells="1">
                  <from>
                    <xdr:col>11</xdr:col>
                    <xdr:colOff>1581150</xdr:colOff>
                    <xdr:row>17</xdr:row>
                    <xdr:rowOff>57150</xdr:rowOff>
                  </from>
                  <to>
                    <xdr:col>11</xdr:col>
                    <xdr:colOff>2419350</xdr:colOff>
                    <xdr:row>19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2017-12-01T12:40:55Z</dcterms:created>
  <dcterms:modified xsi:type="dcterms:W3CDTF">2017-12-01T12:55:07Z</dcterms:modified>
</cp:coreProperties>
</file>