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ile Cap Excel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108" i="1"/>
  <c r="B102" i="1"/>
  <c r="B98" i="1"/>
  <c r="L92" i="1"/>
  <c r="K83" i="1"/>
  <c r="G83" i="1"/>
  <c r="K82" i="1"/>
  <c r="O80" i="1"/>
  <c r="P80" i="1" s="1"/>
  <c r="H64" i="1"/>
  <c r="J59" i="1"/>
  <c r="H58" i="1"/>
  <c r="G58" i="1"/>
  <c r="C58" i="1"/>
  <c r="H57" i="1"/>
  <c r="G57" i="1"/>
  <c r="C57" i="1"/>
  <c r="K55" i="1"/>
  <c r="J55" i="1"/>
  <c r="L52" i="1"/>
  <c r="L42" i="1"/>
  <c r="L40" i="1"/>
  <c r="L39" i="1"/>
  <c r="L38" i="1"/>
  <c r="E30" i="1"/>
  <c r="J64" i="1" s="1"/>
  <c r="D30" i="1"/>
  <c r="I64" i="1" s="1"/>
  <c r="C30" i="1"/>
  <c r="E29" i="1"/>
  <c r="J63" i="1" s="1"/>
  <c r="D29" i="1"/>
  <c r="I63" i="1" s="1"/>
  <c r="C29" i="1"/>
  <c r="H63" i="1" s="1"/>
  <c r="H27" i="1"/>
  <c r="L26" i="1"/>
  <c r="L22" i="1"/>
  <c r="C19" i="1"/>
  <c r="E17" i="1"/>
  <c r="E16" i="1"/>
  <c r="E15" i="1"/>
  <c r="C61" i="1" s="1"/>
  <c r="I10" i="1"/>
  <c r="I59" i="1" s="1"/>
  <c r="C59" i="1"/>
  <c r="C56" i="1"/>
  <c r="I55" i="1"/>
  <c r="C55" i="1"/>
  <c r="E69" i="1" l="1"/>
  <c r="F70" i="1"/>
  <c r="E70" i="1"/>
  <c r="E71" i="1"/>
  <c r="F69" i="1"/>
  <c r="F71" i="1"/>
  <c r="G67" i="1"/>
  <c r="C67" i="1"/>
  <c r="F67" i="1"/>
  <c r="E67" i="1"/>
  <c r="H67" i="1"/>
  <c r="D67" i="1"/>
  <c r="M95" i="1"/>
  <c r="P108" i="1"/>
  <c r="G70" i="1"/>
  <c r="C70" i="1"/>
  <c r="H69" i="1"/>
  <c r="D69" i="1"/>
  <c r="D70" i="1"/>
  <c r="H83" i="1"/>
  <c r="O106" i="1"/>
  <c r="H70" i="1"/>
  <c r="R87" i="1"/>
  <c r="C83" i="1"/>
  <c r="H71" i="1"/>
  <c r="D71" i="1"/>
  <c r="G78" i="1" s="1"/>
  <c r="P109" i="1"/>
  <c r="G71" i="1"/>
  <c r="G76" i="1" s="1"/>
  <c r="C71" i="1"/>
  <c r="C69" i="1"/>
  <c r="P74" i="1"/>
  <c r="G69" i="1"/>
  <c r="H109" i="1" l="1"/>
  <c r="D83" i="1"/>
  <c r="O74" i="1"/>
  <c r="P88" i="1"/>
  <c r="C78" i="1"/>
  <c r="C68" i="1"/>
  <c r="E34" i="1"/>
  <c r="I67" i="1"/>
  <c r="Q85" i="1"/>
  <c r="O87" i="1"/>
  <c r="D97" i="1"/>
  <c r="P87" i="1"/>
  <c r="G68" i="1"/>
  <c r="I35" i="1" s="1"/>
  <c r="I34" i="1"/>
  <c r="C76" i="1"/>
  <c r="C75" i="1"/>
  <c r="C77" i="1"/>
  <c r="O88" i="1"/>
  <c r="E75" i="1"/>
  <c r="E77" i="1"/>
  <c r="E68" i="1"/>
  <c r="G35" i="1" s="1"/>
  <c r="G34" i="1"/>
  <c r="D68" i="1"/>
  <c r="F35" i="1" s="1"/>
  <c r="F34" i="1"/>
  <c r="H68" i="1"/>
  <c r="J35" i="1" s="1"/>
  <c r="J34" i="1"/>
  <c r="Q87" i="1"/>
  <c r="G77" i="1"/>
  <c r="G75" i="1"/>
  <c r="E78" i="1"/>
  <c r="E76" i="1"/>
  <c r="F68" i="1"/>
  <c r="H35" i="1" s="1"/>
  <c r="H34" i="1"/>
  <c r="G82" i="1" l="1"/>
  <c r="H82" i="1"/>
  <c r="I68" i="1"/>
  <c r="E35" i="1"/>
  <c r="Q73" i="1"/>
  <c r="O85" i="1"/>
  <c r="D82" i="1"/>
  <c r="C82" i="1"/>
  <c r="I70" i="1"/>
  <c r="C38" i="1" l="1"/>
  <c r="M78" i="1"/>
  <c r="R73" i="1"/>
  <c r="C46" i="1"/>
  <c r="M79" i="1" l="1"/>
  <c r="P73" i="1"/>
  <c r="O73" i="1"/>
  <c r="Q80" i="1" l="1"/>
  <c r="O89" i="1"/>
  <c r="P89" i="1"/>
  <c r="O75" i="1"/>
  <c r="O76" i="1" s="1"/>
  <c r="O77" i="1" s="1"/>
  <c r="R88" i="1"/>
  <c r="R89" i="1" s="1"/>
  <c r="Q88" i="1"/>
  <c r="Q89" i="1" s="1"/>
  <c r="R80" i="1"/>
  <c r="P75" i="1"/>
  <c r="P76" i="1" s="1"/>
  <c r="P77" i="1" s="1"/>
  <c r="O86" i="1" l="1"/>
  <c r="O78" i="1"/>
  <c r="Q86" i="1"/>
  <c r="P78" i="1"/>
  <c r="P81" i="1" l="1"/>
  <c r="P79" i="1" s="1"/>
  <c r="R79" i="1" s="1"/>
  <c r="R90" i="1"/>
  <c r="Q90" i="1"/>
  <c r="G81" i="1"/>
  <c r="O81" i="1"/>
  <c r="O79" i="1" s="1"/>
  <c r="C81" i="1" s="1"/>
  <c r="P90" i="1"/>
  <c r="O90" i="1"/>
  <c r="C93" i="1" l="1"/>
  <c r="C84" i="1"/>
  <c r="Q79" i="1"/>
  <c r="O93" i="1" s="1"/>
  <c r="Q98" i="1"/>
  <c r="Q91" i="1"/>
  <c r="O98" i="1"/>
  <c r="O91" i="1"/>
  <c r="O92" i="1" s="1"/>
  <c r="R91" i="1"/>
  <c r="R98" i="1"/>
  <c r="G93" i="1"/>
  <c r="G84" i="1"/>
  <c r="Q93" i="1"/>
  <c r="Q94" i="1" s="1"/>
  <c r="Q95" i="1" s="1"/>
  <c r="Q96" i="1" s="1"/>
  <c r="P91" i="1"/>
  <c r="P98" i="1"/>
  <c r="H81" i="1" l="1"/>
  <c r="G85" i="1"/>
  <c r="G86" i="1" s="1"/>
  <c r="G87" i="1" s="1"/>
  <c r="C104" i="1"/>
  <c r="C103" i="1"/>
  <c r="H108" i="1"/>
  <c r="C86" i="1"/>
  <c r="C87" i="1" s="1"/>
  <c r="O107" i="1"/>
  <c r="C109" i="1"/>
  <c r="D110" i="1" s="1"/>
  <c r="C85" i="1"/>
  <c r="O94" i="1"/>
  <c r="O95" i="1" s="1"/>
  <c r="O96" i="1" s="1"/>
  <c r="O97" i="1" s="1"/>
  <c r="D98" i="1" s="1"/>
  <c r="C99" i="1"/>
  <c r="C100" i="1"/>
  <c r="Q92" i="1"/>
  <c r="Q97" i="1" s="1"/>
  <c r="G88" i="1" l="1"/>
  <c r="G89" i="1" s="1"/>
  <c r="C47" i="1"/>
  <c r="O108" i="1"/>
  <c r="O109" i="1"/>
  <c r="F107" i="1"/>
  <c r="F109" i="1" s="1"/>
  <c r="E103" i="1"/>
  <c r="H103" i="1"/>
  <c r="C50" i="1"/>
  <c r="E99" i="1"/>
  <c r="C42" i="1"/>
  <c r="H99" i="1"/>
  <c r="D81" i="1"/>
  <c r="C88" i="1"/>
  <c r="C89" i="1" s="1"/>
  <c r="C94" i="1" s="1"/>
  <c r="H84" i="1"/>
  <c r="C39" i="1"/>
  <c r="F108" i="1" l="1"/>
  <c r="H85" i="1"/>
  <c r="H86" i="1" s="1"/>
  <c r="H87" i="1" s="1"/>
  <c r="H88" i="1" s="1"/>
  <c r="H89" i="1" s="1"/>
  <c r="I42" i="1"/>
  <c r="C95" i="1"/>
  <c r="D40" i="1" s="1"/>
  <c r="C90" i="1"/>
  <c r="D84" i="1"/>
  <c r="E101" i="1"/>
  <c r="I50" i="1"/>
  <c r="G95" i="1"/>
  <c r="D48" i="1" s="1"/>
  <c r="G90" i="1"/>
  <c r="E105" i="1"/>
  <c r="G94" i="1"/>
  <c r="H91" i="1" l="1"/>
  <c r="H47" i="1"/>
  <c r="H90" i="1"/>
  <c r="E48" i="1"/>
  <c r="G103" i="1"/>
  <c r="E104" i="1" s="1"/>
  <c r="G104" i="1" s="1"/>
  <c r="C51" i="1" s="1"/>
  <c r="G91" i="1"/>
  <c r="G92" i="1" s="1"/>
  <c r="O110" i="1"/>
  <c r="F110" i="1" s="1"/>
  <c r="H110" i="1" s="1"/>
  <c r="G99" i="1"/>
  <c r="E100" i="1" s="1"/>
  <c r="E40" i="1"/>
  <c r="C91" i="1"/>
  <c r="D85" i="1"/>
  <c r="D86" i="1" s="1"/>
  <c r="D87" i="1" s="1"/>
  <c r="D88" i="1" s="1"/>
  <c r="D89" i="1" s="1"/>
  <c r="H39" i="1"/>
  <c r="I51" i="1"/>
  <c r="D91" i="1" l="1"/>
  <c r="D90" i="1"/>
  <c r="G105" i="1"/>
  <c r="G100" i="1"/>
  <c r="C43" i="1" s="1"/>
  <c r="G101" i="1"/>
  <c r="C92" i="1"/>
  <c r="H105" i="1" l="1"/>
  <c r="D52" i="1" s="1"/>
  <c r="M103" i="1"/>
  <c r="E52" i="1" s="1"/>
  <c r="D100" i="1"/>
  <c r="D104" i="1"/>
  <c r="I43" i="1"/>
  <c r="H101" i="1"/>
  <c r="D44" i="1" s="1"/>
  <c r="M99" i="1"/>
  <c r="E44" i="1" s="1"/>
</calcChain>
</file>

<file path=xl/sharedStrings.xml><?xml version="1.0" encoding="utf-8"?>
<sst xmlns="http://schemas.openxmlformats.org/spreadsheetml/2006/main" count="216" uniqueCount="149">
  <si>
    <t xml:space="preserve"> </t>
  </si>
  <si>
    <t>OPERATING INSTRUCTIONS</t>
  </si>
  <si>
    <t>Fs =</t>
  </si>
  <si>
    <t xml:space="preserve"> Project</t>
  </si>
  <si>
    <r>
      <t xml:space="preserve">ENTER DATA IN </t>
    </r>
    <r>
      <rPr>
        <b/>
        <sz val="12"/>
        <color indexed="12"/>
        <rFont val="Tekton"/>
        <family val="2"/>
      </rPr>
      <t>BLUE/</t>
    </r>
    <r>
      <rPr>
        <b/>
        <sz val="12"/>
        <color indexed="14"/>
        <rFont val="Tekton"/>
        <family val="2"/>
      </rPr>
      <t>MAGENTA</t>
    </r>
    <r>
      <rPr>
        <b/>
        <sz val="12"/>
        <color indexed="12"/>
        <rFont val="Tekton"/>
        <family val="2"/>
      </rPr>
      <t xml:space="preserve"> </t>
    </r>
    <r>
      <rPr>
        <b/>
        <sz val="12"/>
        <color indexed="17"/>
        <rFont val="Tekton"/>
        <family val="2"/>
      </rPr>
      <t>CELLS ONLY.</t>
    </r>
  </si>
  <si>
    <t>bond L =</t>
  </si>
  <si>
    <t xml:space="preserve"> Client</t>
  </si>
  <si>
    <t xml:space="preserve"> Made by</t>
  </si>
  <si>
    <t xml:space="preserve"> Date</t>
  </si>
  <si>
    <t xml:space="preserve"> Page</t>
  </si>
  <si>
    <r>
      <t>RED MESSAGES</t>
    </r>
    <r>
      <rPr>
        <b/>
        <sz val="12"/>
        <color indexed="17"/>
        <rFont val="Tekton"/>
        <family val="2"/>
      </rPr>
      <t xml:space="preserve"> INDICATE ENTRY ERRORS.</t>
    </r>
  </si>
  <si>
    <t xml:space="preserve"> Location</t>
  </si>
  <si>
    <t>6 Pile Cap</t>
  </si>
  <si>
    <r>
      <t xml:space="preserve">THIS PAGE for </t>
    </r>
    <r>
      <rPr>
        <b/>
        <sz val="12"/>
        <color indexed="60"/>
        <rFont val="Tekton"/>
        <family val="2"/>
      </rPr>
      <t>6-PILE</t>
    </r>
    <r>
      <rPr>
        <b/>
        <sz val="12"/>
        <color indexed="17"/>
        <rFont val="Tekton"/>
        <family val="2"/>
      </rPr>
      <t xml:space="preserve"> CAPS ONLY.</t>
    </r>
  </si>
  <si>
    <t xml:space="preserve"> Checked</t>
  </si>
  <si>
    <t>Revision</t>
  </si>
  <si>
    <t xml:space="preserve"> Job No</t>
  </si>
  <si>
    <t>SET PROJECT DETAILS &amp; MATERIALS on FIRST SHEET.</t>
  </si>
  <si>
    <t>-</t>
  </si>
  <si>
    <t>Bar Marks</t>
  </si>
  <si>
    <r>
      <t xml:space="preserve"> </t>
    </r>
    <r>
      <rPr>
        <b/>
        <sz val="14"/>
        <rFont val="BlacklightD"/>
        <family val="4"/>
      </rPr>
      <t>DIMENSIONS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mm</t>
    </r>
  </si>
  <si>
    <t>PILECAP</t>
  </si>
  <si>
    <t>Btm</t>
  </si>
  <si>
    <t xml:space="preserve"> 23 </t>
  </si>
  <si>
    <t xml:space="preserve"> 26 </t>
  </si>
  <si>
    <t xml:space="preserve">           COLUMN</t>
  </si>
  <si>
    <t>A =</t>
  </si>
  <si>
    <t>Top</t>
  </si>
  <si>
    <t xml:space="preserve"> 24 </t>
  </si>
  <si>
    <t xml:space="preserve"> 27 </t>
  </si>
  <si>
    <r>
      <t>®</t>
    </r>
    <r>
      <rPr>
        <sz val="14"/>
        <rFont val="Tekton"/>
        <family val="2"/>
      </rPr>
      <t xml:space="preserve"> =</t>
    </r>
  </si>
  <si>
    <t>B =</t>
  </si>
  <si>
    <t>Links</t>
  </si>
  <si>
    <t xml:space="preserve"> 25 </t>
  </si>
  <si>
    <t xml:space="preserve"> 28 </t>
  </si>
  <si>
    <r>
      <t>­</t>
    </r>
    <r>
      <rPr>
        <sz val="14"/>
        <rFont val="Tekton"/>
        <family val="2"/>
      </rPr>
      <t xml:space="preserve"> =</t>
    </r>
  </si>
  <si>
    <t>C =</t>
  </si>
  <si>
    <t>D =</t>
  </si>
  <si>
    <t>E =</t>
  </si>
  <si>
    <r>
      <t>depth</t>
    </r>
    <r>
      <rPr>
        <sz val="14"/>
        <rFont val="Tekton"/>
        <family val="2"/>
      </rPr>
      <t xml:space="preserve"> H =</t>
    </r>
  </si>
  <si>
    <t>Pile Ø =</t>
  </si>
  <si>
    <t>Min spacing =</t>
  </si>
  <si>
    <r>
      <t xml:space="preserve"> COLUMN ACTIONS</t>
    </r>
    <r>
      <rPr>
        <b/>
        <sz val="12"/>
        <rFont val="Marker"/>
        <family val="2"/>
      </rPr>
      <t xml:space="preserve"> </t>
    </r>
    <r>
      <rPr>
        <sz val="14"/>
        <rFont val="Tekton"/>
        <family val="2"/>
      </rPr>
      <t>kN, kNm</t>
    </r>
    <r>
      <rPr>
        <sz val="12"/>
        <rFont val="Tekton"/>
        <family val="2"/>
      </rPr>
      <t xml:space="preserve">  </t>
    </r>
    <r>
      <rPr>
        <sz val="10"/>
        <rFont val="Tekton"/>
        <family val="2"/>
      </rPr>
      <t>characteristic</t>
    </r>
  </si>
  <si>
    <r>
      <t>PLOT</t>
    </r>
    <r>
      <rPr>
        <sz val="12"/>
        <rFont val="Marker"/>
        <family val="2"/>
      </rPr>
      <t xml:space="preserve">  </t>
    </r>
    <r>
      <rPr>
        <i/>
        <sz val="12"/>
        <rFont val="Tekton"/>
        <family val="2"/>
      </rPr>
      <t>(to scale)</t>
    </r>
  </si>
  <si>
    <t>KEY</t>
  </si>
  <si>
    <t>DEAD</t>
  </si>
  <si>
    <t>IMPOSED</t>
  </si>
  <si>
    <t>WIND</t>
  </si>
  <si>
    <r>
      <t xml:space="preserve">Axial </t>
    </r>
    <r>
      <rPr>
        <sz val="12"/>
        <rFont val="Tekton"/>
        <family val="2"/>
      </rPr>
      <t xml:space="preserve">(kN) </t>
    </r>
  </si>
  <si>
    <r>
      <t>Mx</t>
    </r>
    <r>
      <rPr>
        <sz val="12"/>
        <rFont val="Tekton"/>
        <family val="2"/>
      </rPr>
      <t xml:space="preserve"> (kNm) </t>
    </r>
  </si>
  <si>
    <t xml:space="preserve"> STATUS</t>
  </si>
  <si>
    <r>
      <t xml:space="preserve">My </t>
    </r>
    <r>
      <rPr>
        <sz val="12"/>
        <rFont val="Tekton"/>
        <family val="2"/>
      </rPr>
      <t>(kNm)</t>
    </r>
    <r>
      <rPr>
        <sz val="14"/>
        <rFont val="Tekton"/>
        <family val="2"/>
      </rPr>
      <t xml:space="preserve"> </t>
    </r>
  </si>
  <si>
    <t xml:space="preserve">    SIGN CONVENTION</t>
  </si>
  <si>
    <r>
      <t xml:space="preserve">Hx </t>
    </r>
    <r>
      <rPr>
        <sz val="12"/>
        <rFont val="Tekton"/>
        <family val="2"/>
      </rPr>
      <t xml:space="preserve">(kN) </t>
    </r>
  </si>
  <si>
    <r>
      <t xml:space="preserve">Hy </t>
    </r>
    <r>
      <rPr>
        <sz val="12"/>
        <rFont val="Tekton"/>
        <family val="2"/>
      </rPr>
      <t xml:space="preserve">(kN) </t>
    </r>
  </si>
  <si>
    <t>Y</t>
  </si>
  <si>
    <r>
      <t xml:space="preserve"> </t>
    </r>
    <r>
      <rPr>
        <sz val="12"/>
        <rFont val="Marker"/>
        <family val="2"/>
      </rPr>
      <t>PILE REACTIONS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kN</t>
    </r>
  </si>
  <si>
    <t>X</t>
  </si>
  <si>
    <t>PILE 1</t>
  </si>
  <si>
    <t>PILE 2</t>
  </si>
  <si>
    <t>PILE 3</t>
  </si>
  <si>
    <t>PILE 4</t>
  </si>
  <si>
    <t>PILE 5</t>
  </si>
  <si>
    <t>PILE 6</t>
  </si>
  <si>
    <t xml:space="preserve">        M         H</t>
  </si>
  <si>
    <t xml:space="preserve"> T</t>
  </si>
  <si>
    <t>Gk + Qk</t>
  </si>
  <si>
    <t>Gk + Qk +Wk</t>
  </si>
  <si>
    <t xml:space="preserve"> REINFORCEMENT</t>
  </si>
  <si>
    <t>EW(1/5-2/6)</t>
  </si>
  <si>
    <t/>
  </si>
  <si>
    <r>
      <t>­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</si>
  <si>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>NS(1/2-5/6)</t>
  </si>
  <si>
    <r>
      <t>¬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</si>
  <si>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>Cap load =</t>
  </si>
  <si>
    <t>kN</t>
  </si>
  <si>
    <r>
      <t xml:space="preserve"> OVERTURNING MOMENTS</t>
    </r>
    <r>
      <rPr>
        <sz val="12"/>
        <rFont val="Tekton"/>
        <family val="2"/>
      </rPr>
      <t xml:space="preserve"> - kNm </t>
    </r>
    <r>
      <rPr>
        <sz val="10"/>
        <rFont val="Tekton"/>
        <family val="2"/>
      </rPr>
      <t>characteristic</t>
    </r>
  </si>
  <si>
    <t xml:space="preserve">Mx </t>
  </si>
  <si>
    <t xml:space="preserve">My </t>
  </si>
  <si>
    <r>
      <t>PILE REACTIONS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kN</t>
    </r>
  </si>
  <si>
    <t xml:space="preserve">Gk + Qk </t>
  </si>
  <si>
    <t xml:space="preserve">Gk + Qk +Wk </t>
  </si>
  <si>
    <t xml:space="preserve">1.4Gk + 1.6Qk </t>
  </si>
  <si>
    <t xml:space="preserve">Gk + 1.4Wk </t>
  </si>
  <si>
    <t xml:space="preserve">1.2(Gk+Qk+Wk) </t>
  </si>
  <si>
    <t>SELECT MAIN Øs</t>
  </si>
  <si>
    <t>EW</t>
  </si>
  <si>
    <t>NS</t>
  </si>
  <si>
    <r>
      <t xml:space="preserve"> </t>
    </r>
    <r>
      <rPr>
        <sz val="12"/>
        <rFont val="Marker"/>
        <family val="2"/>
      </rPr>
      <t>BENDING MOMENTS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- kNm</t>
    </r>
  </si>
  <si>
    <t>d =</t>
  </si>
  <si>
    <t>b =</t>
  </si>
  <si>
    <r>
      <t>My</t>
    </r>
    <r>
      <rPr>
        <sz val="12"/>
        <color indexed="10"/>
        <rFont val="Tekton"/>
        <family val="2"/>
      </rPr>
      <t xml:space="preserve"> v </t>
    </r>
    <r>
      <rPr>
        <sz val="12"/>
        <rFont val="Tekton"/>
        <family val="2"/>
      </rPr>
      <t xml:space="preserve">of col  </t>
    </r>
  </si>
  <si>
    <t>K =</t>
  </si>
  <si>
    <r>
      <t xml:space="preserve">My </t>
    </r>
    <r>
      <rPr>
        <sz val="12"/>
        <color indexed="10"/>
        <rFont val="Tekton"/>
        <family val="2"/>
      </rPr>
      <t>^</t>
    </r>
    <r>
      <rPr>
        <sz val="12"/>
        <rFont val="Tekton"/>
        <family val="2"/>
      </rPr>
      <t xml:space="preserve"> of col  </t>
    </r>
  </si>
  <si>
    <t>z =</t>
  </si>
  <si>
    <r>
      <t xml:space="preserve">My </t>
    </r>
    <r>
      <rPr>
        <sz val="12"/>
        <color indexed="10"/>
        <rFont val="Tekton"/>
        <family val="2"/>
      </rPr>
      <t>&lt;</t>
    </r>
    <r>
      <rPr>
        <sz val="12"/>
        <rFont val="Tekton"/>
        <family val="2"/>
      </rPr>
      <t xml:space="preserve"> of col  </t>
    </r>
  </si>
  <si>
    <t xml:space="preserve">As = </t>
  </si>
  <si>
    <r>
      <t xml:space="preserve">My </t>
    </r>
    <r>
      <rPr>
        <sz val="12"/>
        <color indexed="10"/>
        <rFont val="Tekton"/>
        <family val="2"/>
      </rPr>
      <t>&gt;</t>
    </r>
    <r>
      <rPr>
        <sz val="12"/>
        <rFont val="Tekton"/>
        <family val="2"/>
      </rPr>
      <t xml:space="preserve"> of col  </t>
    </r>
  </si>
  <si>
    <t>Provide</t>
  </si>
  <si>
    <t xml:space="preserve">No = </t>
  </si>
  <si>
    <t xml:space="preserve"> E-W STEEL</t>
  </si>
  <si>
    <t>BOTTOM</t>
  </si>
  <si>
    <t>TOP</t>
  </si>
  <si>
    <t>N-S STEEL</t>
  </si>
  <si>
    <t xml:space="preserve">fs = </t>
  </si>
  <si>
    <t>S =</t>
  </si>
  <si>
    <t>M =</t>
  </si>
  <si>
    <t>K' =</t>
  </si>
  <si>
    <t xml:space="preserve">min As = </t>
  </si>
  <si>
    <t>SELECT LINK Ø</t>
  </si>
  <si>
    <t>EW (NS plane)</t>
  </si>
  <si>
    <t>NS (EW plane)</t>
  </si>
  <si>
    <t>% =</t>
  </si>
  <si>
    <t>Av =</t>
  </si>
  <si>
    <t>V =</t>
  </si>
  <si>
    <t>v =</t>
  </si>
  <si>
    <t xml:space="preserve">As prov = </t>
  </si>
  <si>
    <t>vc 2d/av =</t>
  </si>
  <si>
    <t>(v - vc)b =</t>
  </si>
  <si>
    <t>Max clear S =</t>
  </si>
  <si>
    <t>Asv/Sv =</t>
  </si>
  <si>
    <t>Min clear S =</t>
  </si>
  <si>
    <t>Btm S =</t>
  </si>
  <si>
    <t>Clear S =</t>
  </si>
  <si>
    <t>Min legs =</t>
  </si>
  <si>
    <t>Legs =</t>
  </si>
  <si>
    <t xml:space="preserve"> BEAM SHEAR</t>
  </si>
  <si>
    <t>Asv (1 leg) =</t>
  </si>
  <si>
    <t>links</t>
  </si>
  <si>
    <t>As% =</t>
  </si>
  <si>
    <t>av =</t>
  </si>
  <si>
    <t>No of legs =</t>
  </si>
  <si>
    <t>Spacing =</t>
  </si>
  <si>
    <t>closest pile from col face =</t>
  </si>
  <si>
    <t xml:space="preserve"> PUNCHING</t>
  </si>
  <si>
    <t>Column Face</t>
  </si>
  <si>
    <t>1.5 ave d =</t>
  </si>
  <si>
    <r>
      <t>m</t>
    </r>
    <r>
      <rPr>
        <sz val="12"/>
        <rFont val="Tekton"/>
        <family val="2"/>
      </rPr>
      <t xml:space="preserve"> =</t>
    </r>
  </si>
  <si>
    <t>d ave =</t>
  </si>
  <si>
    <t>width =</t>
  </si>
  <si>
    <t>height =</t>
  </si>
  <si>
    <t>v max =</t>
  </si>
  <si>
    <r>
      <t>r</t>
    </r>
    <r>
      <rPr>
        <sz val="12"/>
        <rFont val="Tekton"/>
        <family val="2"/>
      </rPr>
      <t xml:space="preserve"> =</t>
    </r>
  </si>
  <si>
    <t>DESIGN INTEGRITY</t>
  </si>
  <si>
    <t>CIVIL ENGINEERING LEARNING CENTER</t>
  </si>
  <si>
    <r>
      <rPr>
        <sz val="11"/>
        <color rgb="FF00B050"/>
        <rFont val="Calibri"/>
        <family val="2"/>
        <scheme val="minor"/>
      </rPr>
      <t xml:space="preserve">Email : dilbd016@gmail.com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Call:01633905761</t>
    </r>
  </si>
  <si>
    <t>THANKING YOU</t>
  </si>
  <si>
    <t>ENGR.TOWHID</t>
  </si>
  <si>
    <t>CO-FOUNDER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</si>
</sst>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;\-0.0;;@"/>
    <numFmt numFmtId="165" formatCode="0.0"/>
    <numFmt numFmtId="166" formatCode="0.000"/>
    <numFmt numFmtId="167" formatCode="0.0000"/>
    <numFmt numFmtId="168" formatCode="\Ø#,##0;\-\Ø#,##0"/>
  </numFmts>
  <fonts count="9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ekton"/>
      <family val="2"/>
    </font>
    <font>
      <sz val="12"/>
      <color indexed="17"/>
      <name val="Tekton"/>
      <family val="2"/>
    </font>
    <font>
      <sz val="12"/>
      <name val="Courier New"/>
      <family val="3"/>
    </font>
    <font>
      <sz val="14"/>
      <name val="Courier New"/>
      <family val="3"/>
    </font>
    <font>
      <b/>
      <sz val="16"/>
      <color indexed="60"/>
      <name val="Tekton"/>
      <family val="2"/>
    </font>
    <font>
      <sz val="24"/>
      <name val="Courier New"/>
      <family val="3"/>
    </font>
    <font>
      <sz val="16"/>
      <color indexed="12"/>
      <name val="Marker"/>
      <family val="2"/>
    </font>
    <font>
      <sz val="14"/>
      <name val="BlacklightD"/>
      <family val="4"/>
    </font>
    <font>
      <sz val="12"/>
      <name val="BlacklightD"/>
      <family val="4"/>
    </font>
    <font>
      <i/>
      <sz val="10"/>
      <color indexed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7"/>
      <name val="Tekton"/>
      <family val="2"/>
    </font>
    <font>
      <b/>
      <sz val="12"/>
      <color indexed="12"/>
      <name val="Tekton"/>
      <family val="2"/>
    </font>
    <font>
      <b/>
      <sz val="12"/>
      <color indexed="14"/>
      <name val="Tekton"/>
      <family val="2"/>
    </font>
    <font>
      <sz val="14"/>
      <color indexed="12"/>
      <name val="Marker"/>
      <family val="2"/>
    </font>
    <font>
      <sz val="10"/>
      <name val="BlacklightD"/>
      <family val="4"/>
    </font>
    <font>
      <sz val="14"/>
      <color indexed="17"/>
      <name val="BlacklightD"/>
      <family val="4"/>
    </font>
    <font>
      <sz val="10"/>
      <name val="Tekton"/>
      <family val="2"/>
    </font>
    <font>
      <b/>
      <sz val="12"/>
      <color indexed="10"/>
      <name val="Tekton"/>
      <family val="2"/>
    </font>
    <font>
      <sz val="13"/>
      <color indexed="17"/>
      <name val="Marker"/>
      <family val="2"/>
    </font>
    <font>
      <sz val="12"/>
      <color indexed="12"/>
      <name val="Marker"/>
      <family val="2"/>
    </font>
    <font>
      <b/>
      <sz val="12"/>
      <color indexed="60"/>
      <name val="Tekton"/>
      <family val="2"/>
    </font>
    <font>
      <sz val="8"/>
      <name val="Tekton"/>
      <family val="2"/>
    </font>
    <font>
      <b/>
      <sz val="12"/>
      <name val="Tekton"/>
      <family val="2"/>
    </font>
    <font>
      <sz val="10"/>
      <name val="Arial"/>
      <family val="2"/>
    </font>
    <font>
      <sz val="14"/>
      <name val="Tekton"/>
      <family val="2"/>
    </font>
    <font>
      <i/>
      <sz val="12"/>
      <name val="Tekton"/>
      <family val="2"/>
    </font>
    <font>
      <sz val="12"/>
      <color indexed="17"/>
      <name val="BlacklightD"/>
      <family val="4"/>
    </font>
    <font>
      <sz val="14"/>
      <name val="Marker"/>
      <family val="2"/>
    </font>
    <font>
      <b/>
      <sz val="14"/>
      <name val="BlacklightD"/>
      <family val="4"/>
    </font>
    <font>
      <i/>
      <sz val="12"/>
      <color indexed="17"/>
      <name val="Tekton"/>
      <family val="2"/>
    </font>
    <font>
      <sz val="11"/>
      <name val="Marker"/>
      <family val="2"/>
    </font>
    <font>
      <u/>
      <sz val="14"/>
      <color indexed="12"/>
      <name val="Tekton"/>
      <family val="2"/>
    </font>
    <font>
      <sz val="12"/>
      <color indexed="10"/>
      <name val="BlacklightD"/>
      <family val="4"/>
    </font>
    <font>
      <sz val="14"/>
      <name val="Symbol"/>
      <family val="1"/>
      <charset val="2"/>
    </font>
    <font>
      <sz val="10"/>
      <name val="Marker"/>
      <family val="2"/>
    </font>
    <font>
      <sz val="14"/>
      <name val="Arial"/>
      <family val="2"/>
    </font>
    <font>
      <sz val="12"/>
      <name val="Marker"/>
      <family val="2"/>
    </font>
    <font>
      <sz val="16"/>
      <color indexed="60"/>
      <name val="BlacklightD"/>
      <family val="4"/>
    </font>
    <font>
      <sz val="14"/>
      <color indexed="60"/>
      <name val="BlacklightD"/>
      <family val="4"/>
    </font>
    <font>
      <sz val="12"/>
      <color indexed="20"/>
      <name val="BlacklightD"/>
      <family val="4"/>
    </font>
    <font>
      <b/>
      <sz val="12"/>
      <name val="Marker"/>
      <family val="2"/>
    </font>
    <font>
      <sz val="13"/>
      <name val="Marker"/>
      <family val="2"/>
    </font>
    <font>
      <sz val="13"/>
      <color indexed="10"/>
      <name val="Marker"/>
      <family val="2"/>
    </font>
    <font>
      <b/>
      <i/>
      <sz val="12"/>
      <color indexed="60"/>
      <name val="Tekton"/>
      <family val="2"/>
    </font>
    <font>
      <b/>
      <sz val="14"/>
      <color indexed="60"/>
      <name val="BlacklightD"/>
      <family val="4"/>
    </font>
    <font>
      <sz val="12"/>
      <color indexed="17"/>
      <name val="Marker"/>
      <family val="2"/>
    </font>
    <font>
      <sz val="14"/>
      <name val="Tekton"/>
    </font>
    <font>
      <b/>
      <sz val="14"/>
      <color indexed="10"/>
      <name val="Tekton"/>
      <family val="2"/>
    </font>
    <font>
      <sz val="12"/>
      <color indexed="10"/>
      <name val="Tekton"/>
      <family val="2"/>
    </font>
    <font>
      <sz val="13"/>
      <color indexed="12"/>
      <name val="Tekton"/>
      <family val="2"/>
    </font>
    <font>
      <sz val="13"/>
      <name val="Tekton"/>
      <family val="2"/>
    </font>
    <font>
      <u/>
      <sz val="13"/>
      <color indexed="60"/>
      <name val="Marker"/>
      <family val="2"/>
    </font>
    <font>
      <sz val="10"/>
      <name val="Tekton"/>
    </font>
    <font>
      <sz val="10"/>
      <color indexed="10"/>
      <name val="Tekton"/>
      <family val="2"/>
    </font>
    <font>
      <sz val="13"/>
      <color indexed="10"/>
      <name val="Tekton"/>
      <family val="2"/>
    </font>
    <font>
      <sz val="13"/>
      <color indexed="17"/>
      <name val="Tekton"/>
      <family val="2"/>
    </font>
    <font>
      <b/>
      <sz val="14"/>
      <color indexed="10"/>
      <name val="Symbol"/>
      <family val="1"/>
      <charset val="2"/>
    </font>
    <font>
      <u/>
      <sz val="10"/>
      <color indexed="12"/>
      <name val="Tekton"/>
      <family val="2"/>
    </font>
    <font>
      <sz val="10"/>
      <color indexed="10"/>
      <name val="BlacklightD"/>
      <family val="4"/>
    </font>
    <font>
      <u/>
      <sz val="14"/>
      <color indexed="60"/>
      <name val="BlacklightD"/>
      <family val="4"/>
    </font>
    <font>
      <b/>
      <sz val="14"/>
      <color indexed="17"/>
      <name val="Tekton"/>
      <family val="2"/>
    </font>
    <font>
      <sz val="8"/>
      <name val="Arial"/>
      <family val="2"/>
    </font>
    <font>
      <sz val="8"/>
      <name val="Tekton"/>
    </font>
    <font>
      <sz val="8"/>
      <color indexed="10"/>
      <name val="BlacklightD"/>
      <family val="4"/>
    </font>
    <font>
      <sz val="8"/>
      <color indexed="60"/>
      <name val="BlacklightD"/>
      <family val="4"/>
    </font>
    <font>
      <u/>
      <sz val="12"/>
      <color indexed="12"/>
      <name val="Tekton"/>
    </font>
    <font>
      <sz val="12"/>
      <color indexed="60"/>
      <name val="Tekton"/>
      <family val="2"/>
    </font>
    <font>
      <b/>
      <sz val="8"/>
      <name val="Tekton"/>
      <family val="2"/>
    </font>
    <font>
      <sz val="16"/>
      <name val="Marker"/>
      <family val="2"/>
    </font>
    <font>
      <sz val="12"/>
      <name val="Tekton"/>
    </font>
    <font>
      <sz val="12"/>
      <color indexed="60"/>
      <name val="BlacklightD"/>
      <family val="4"/>
    </font>
    <font>
      <b/>
      <sz val="12"/>
      <color indexed="10"/>
      <name val="BlacklightD"/>
      <family val="4"/>
    </font>
    <font>
      <sz val="11"/>
      <color indexed="17"/>
      <name val="Marker"/>
      <family val="2"/>
    </font>
    <font>
      <sz val="12"/>
      <name val="Symbol"/>
      <family val="1"/>
      <charset val="2"/>
    </font>
    <font>
      <b/>
      <sz val="12"/>
      <color indexed="10"/>
      <name val="Arial"/>
      <family val="2"/>
    </font>
    <font>
      <b/>
      <u/>
      <sz val="8"/>
      <color indexed="60"/>
      <name val="BlacklightD"/>
      <family val="4"/>
    </font>
    <font>
      <u/>
      <sz val="8"/>
      <name val="Tekton"/>
      <family val="2"/>
    </font>
    <font>
      <sz val="8"/>
      <name val="BlacklightD"/>
      <family val="4"/>
    </font>
    <font>
      <b/>
      <i/>
      <sz val="2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BlacklightD"/>
      <family val="4"/>
    </font>
    <font>
      <b/>
      <sz val="12"/>
      <color rgb="FFC00000"/>
      <name val="BlacklightD"/>
    </font>
    <font>
      <sz val="14"/>
      <color rgb="FFC00000"/>
      <name val="Calibri"/>
      <family val="2"/>
      <scheme val="minor"/>
    </font>
    <font>
      <b/>
      <sz val="16"/>
      <color rgb="FFC00000"/>
      <name val="BlacklightD"/>
    </font>
    <font>
      <sz val="12"/>
      <color rgb="FF000000"/>
      <name val="Tekton"/>
    </font>
    <font>
      <sz val="12"/>
      <color rgb="FF008000"/>
      <name val="Tekton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</borders>
  <cellStyleXfs count="2">
    <xf numFmtId="0" fontId="0" fillId="0" borderId="0"/>
    <xf numFmtId="0" fontId="69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/>
    <xf numFmtId="1" fontId="8" fillId="0" borderId="2" xfId="0" applyNumberFormat="1" applyFont="1" applyFill="1" applyBorder="1" applyAlignment="1" applyProtection="1">
      <alignment horizontal="left" vertical="center"/>
      <protection locked="0"/>
    </xf>
    <xf numFmtId="1" fontId="17" fillId="0" borderId="0" xfId="0" applyNumberFormat="1" applyFont="1" applyFill="1" applyBorder="1" applyAlignment="1" applyProtection="1">
      <alignment horizontal="left"/>
      <protection locked="0"/>
    </xf>
    <xf numFmtId="1" fontId="17" fillId="0" borderId="0" xfId="0" applyNumberFormat="1" applyFont="1" applyFill="1" applyAlignment="1" applyProtection="1">
      <alignment horizontal="left"/>
      <protection locked="0"/>
    </xf>
    <xf numFmtId="1" fontId="23" fillId="0" borderId="10" xfId="0" applyNumberFormat="1" applyFont="1" applyFill="1" applyBorder="1" applyAlignment="1" applyProtection="1">
      <alignment horizontal="centerContinuous"/>
      <protection locked="0"/>
    </xf>
    <xf numFmtId="15" fontId="23" fillId="0" borderId="11" xfId="0" applyNumberFormat="1" applyFont="1" applyFill="1" applyBorder="1" applyAlignment="1" applyProtection="1">
      <alignment horizontal="center" shrinkToFit="1"/>
      <protection locked="0"/>
    </xf>
    <xf numFmtId="1" fontId="23" fillId="0" borderId="12" xfId="0" applyNumberFormat="1" applyFont="1" applyFill="1" applyBorder="1" applyAlignment="1" applyProtection="1">
      <alignment horizontal="centerContinuous"/>
      <protection locked="0"/>
    </xf>
    <xf numFmtId="1" fontId="23" fillId="0" borderId="15" xfId="0" applyNumberFormat="1" applyFont="1" applyFill="1" applyBorder="1" applyAlignment="1" applyProtection="1">
      <alignment horizontal="centerContinuous"/>
      <protection locked="0"/>
    </xf>
    <xf numFmtId="1" fontId="23" fillId="0" borderId="17" xfId="0" applyNumberFormat="1" applyFont="1" applyFill="1" applyBorder="1" applyAlignment="1" applyProtection="1">
      <alignment horizontal="centerContinuous"/>
      <protection locked="0"/>
    </xf>
    <xf numFmtId="1" fontId="23" fillId="0" borderId="18" xfId="0" applyNumberFormat="1" applyFont="1" applyFill="1" applyBorder="1" applyAlignment="1" applyProtection="1">
      <alignment horizontal="centerContinuous"/>
      <protection locked="0"/>
    </xf>
    <xf numFmtId="0" fontId="35" fillId="0" borderId="0" xfId="0" applyFont="1" applyFill="1" applyBorder="1" applyAlignment="1" applyProtection="1">
      <alignment horizontal="left"/>
      <protection locked="0"/>
    </xf>
    <xf numFmtId="164" fontId="35" fillId="0" borderId="30" xfId="0" applyNumberFormat="1" applyFont="1" applyFill="1" applyBorder="1" applyAlignment="1" applyProtection="1">
      <alignment horizontal="center"/>
      <protection locked="0"/>
    </xf>
    <xf numFmtId="164" fontId="35" fillId="0" borderId="31" xfId="0" applyNumberFormat="1" applyFont="1" applyFill="1" applyBorder="1" applyAlignment="1" applyProtection="1">
      <alignment horizontal="center"/>
      <protection locked="0"/>
    </xf>
    <xf numFmtId="164" fontId="35" fillId="0" borderId="31" xfId="0" applyNumberFormat="1" applyFont="1" applyBorder="1" applyAlignment="1" applyProtection="1">
      <alignment horizontal="center"/>
      <protection locked="0"/>
    </xf>
    <xf numFmtId="164" fontId="35" fillId="0" borderId="32" xfId="0" applyNumberFormat="1" applyFont="1" applyBorder="1" applyAlignment="1" applyProtection="1">
      <alignment horizontal="center"/>
      <protection locked="0"/>
    </xf>
    <xf numFmtId="165" fontId="35" fillId="0" borderId="0" xfId="0" applyNumberFormat="1" applyFont="1" applyFill="1" applyBorder="1" applyAlignment="1" applyProtection="1">
      <alignment horizontal="center"/>
      <protection locked="0"/>
    </xf>
    <xf numFmtId="0" fontId="84" fillId="8" borderId="0" xfId="0" applyFont="1" applyFill="1" applyProtection="1"/>
    <xf numFmtId="0" fontId="85" fillId="9" borderId="0" xfId="0" applyFont="1" applyFill="1" applyAlignment="1" applyProtection="1">
      <alignment horizontal="center"/>
    </xf>
    <xf numFmtId="0" fontId="86" fillId="9" borderId="0" xfId="0" applyFont="1" applyFill="1" applyAlignment="1" applyProtection="1">
      <alignment horizontal="center"/>
    </xf>
    <xf numFmtId="0" fontId="87" fillId="8" borderId="0" xfId="0" applyFont="1" applyFill="1" applyAlignment="1" applyProtection="1">
      <alignment horizontal="center"/>
    </xf>
    <xf numFmtId="0" fontId="88" fillId="9" borderId="0" xfId="0" applyFont="1" applyFill="1" applyAlignment="1" applyProtection="1">
      <alignment horizontal="center" vertical="top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1" fontId="0" fillId="0" borderId="0" xfId="0" applyNumberForma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0" fillId="0" borderId="0" xfId="0" applyProtection="1">
      <protection locked="0"/>
    </xf>
    <xf numFmtId="0" fontId="7" fillId="2" borderId="0" xfId="0" applyFont="1" applyFill="1" applyProtection="1">
      <protection locked="0"/>
    </xf>
    <xf numFmtId="1" fontId="2" fillId="0" borderId="1" xfId="0" applyNumberFormat="1" applyFont="1" applyFill="1" applyBorder="1" applyAlignment="1" applyProtection="1">
      <alignment vertical="center"/>
      <protection locked="0"/>
    </xf>
    <xf numFmtId="1" fontId="9" fillId="0" borderId="2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left"/>
      <protection locked="0"/>
    </xf>
    <xf numFmtId="1" fontId="2" fillId="0" borderId="6" xfId="0" applyNumberFormat="1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1" fontId="19" fillId="0" borderId="0" xfId="0" applyNumberFormat="1" applyFont="1" applyFill="1" applyBorder="1" applyAlignment="1" applyProtection="1">
      <alignment horizontal="center" vertical="center"/>
      <protection locked="0"/>
    </xf>
    <xf numFmtId="1" fontId="20" fillId="0" borderId="0" xfId="0" applyNumberFormat="1" applyFont="1" applyFill="1" applyBorder="1" applyProtection="1">
      <protection locked="0"/>
    </xf>
    <xf numFmtId="1" fontId="20" fillId="0" borderId="8" xfId="0" applyNumberFormat="1" applyFont="1" applyFill="1" applyBorder="1" applyProtection="1">
      <protection locked="0"/>
    </xf>
    <xf numFmtId="1" fontId="20" fillId="0" borderId="9" xfId="0" applyNumberFormat="1" applyFont="1" applyFill="1" applyBorder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1" fontId="25" fillId="0" borderId="6" xfId="0" applyNumberFormat="1" applyFont="1" applyFill="1" applyBorder="1" applyProtection="1">
      <protection locked="0"/>
    </xf>
    <xf numFmtId="1" fontId="25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Alignment="1" applyProtection="1">
      <alignment horizontal="right"/>
      <protection locked="0"/>
    </xf>
    <xf numFmtId="1" fontId="9" fillId="0" borderId="0" xfId="0" applyNumberFormat="1" applyFont="1" applyFill="1" applyBorder="1" applyProtection="1">
      <protection locked="0"/>
    </xf>
    <xf numFmtId="1" fontId="20" fillId="0" borderId="13" xfId="0" applyNumberFormat="1" applyFont="1" applyFill="1" applyBorder="1" applyProtection="1">
      <protection locked="0"/>
    </xf>
    <xf numFmtId="1" fontId="25" fillId="0" borderId="14" xfId="0" applyNumberFormat="1" applyFont="1" applyFill="1" applyBorder="1" applyAlignment="1" applyProtection="1">
      <alignment horizontal="left"/>
      <protection locked="0"/>
    </xf>
    <xf numFmtId="1" fontId="25" fillId="0" borderId="15" xfId="0" applyNumberFormat="1" applyFont="1" applyFill="1" applyBorder="1" applyAlignment="1" applyProtection="1">
      <alignment horizontal="left"/>
      <protection locked="0"/>
    </xf>
    <xf numFmtId="1" fontId="9" fillId="0" borderId="15" xfId="0" applyNumberFormat="1" applyFont="1" applyFill="1" applyBorder="1" applyAlignment="1" applyProtection="1">
      <alignment horizontal="right"/>
      <protection locked="0"/>
    </xf>
    <xf numFmtId="1" fontId="9" fillId="0" borderId="15" xfId="0" applyNumberFormat="1" applyFont="1" applyFill="1" applyBorder="1" applyProtection="1">
      <protection locked="0"/>
    </xf>
    <xf numFmtId="0" fontId="18" fillId="0" borderId="16" xfId="0" applyFont="1" applyFill="1" applyBorder="1" applyProtection="1">
      <protection locked="0"/>
    </xf>
    <xf numFmtId="0" fontId="27" fillId="2" borderId="0" xfId="0" applyFont="1" applyFill="1" applyProtection="1">
      <protection locked="0"/>
    </xf>
    <xf numFmtId="0" fontId="28" fillId="0" borderId="19" xfId="0" applyFont="1" applyFill="1" applyBorder="1" applyAlignment="1" applyProtection="1">
      <alignment horizontal="right" vertical="top"/>
      <protection locked="0"/>
    </xf>
    <xf numFmtId="0" fontId="28" fillId="0" borderId="0" xfId="0" applyFont="1" applyFill="1" applyBorder="1" applyAlignment="1" applyProtection="1">
      <alignment horizontal="right" vertical="top"/>
      <protection locked="0"/>
    </xf>
    <xf numFmtId="0" fontId="29" fillId="0" borderId="0" xfId="0" applyFont="1" applyProtection="1">
      <protection locked="0"/>
    </xf>
    <xf numFmtId="0" fontId="27" fillId="0" borderId="0" xfId="0" applyFont="1" applyFill="1" applyBorder="1" applyProtection="1">
      <protection locked="0"/>
    </xf>
    <xf numFmtId="0" fontId="27" fillId="0" borderId="20" xfId="0" applyFont="1" applyFill="1" applyBorder="1" applyProtection="1">
      <protection locked="0"/>
    </xf>
    <xf numFmtId="0" fontId="30" fillId="2" borderId="0" xfId="0" applyFont="1" applyFill="1" applyProtection="1">
      <protection locked="0"/>
    </xf>
    <xf numFmtId="0" fontId="31" fillId="0" borderId="19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center"/>
      <protection locked="0"/>
    </xf>
    <xf numFmtId="0" fontId="30" fillId="4" borderId="0" xfId="0" applyFont="1" applyFill="1" applyProtection="1">
      <protection locked="0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0" fillId="0" borderId="25" xfId="0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right"/>
      <protection locked="0"/>
    </xf>
    <xf numFmtId="0" fontId="36" fillId="4" borderId="0" xfId="0" applyFont="1" applyFill="1" applyProtection="1">
      <protection locked="0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26" xfId="0" applyBorder="1" applyAlignment="1" applyProtection="1">
      <alignment horizontal="center"/>
      <protection locked="0" hidden="1"/>
    </xf>
    <xf numFmtId="49" fontId="37" fillId="0" borderId="19" xfId="0" applyNumberFormat="1" applyFont="1" applyFill="1" applyBorder="1" applyAlignment="1" applyProtection="1">
      <alignment horizontal="right"/>
      <protection locked="0"/>
    </xf>
    <xf numFmtId="0" fontId="38" fillId="0" borderId="20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10" xfId="0" applyBorder="1" applyAlignment="1" applyProtection="1">
      <alignment horizontal="center"/>
      <protection locked="0" hidden="1"/>
    </xf>
    <xf numFmtId="0" fontId="0" fillId="0" borderId="28" xfId="0" applyBorder="1" applyAlignment="1" applyProtection="1">
      <alignment horizontal="center"/>
      <protection locked="0" hidden="1"/>
    </xf>
    <xf numFmtId="0" fontId="37" fillId="0" borderId="19" xfId="0" applyFont="1" applyFill="1" applyBorder="1" applyAlignment="1" applyProtection="1">
      <alignment horizontal="right"/>
      <protection locked="0"/>
    </xf>
    <xf numFmtId="0" fontId="39" fillId="0" borderId="0" xfId="0" applyFont="1" applyFill="1" applyBorder="1" applyProtection="1">
      <protection locked="0"/>
    </xf>
    <xf numFmtId="0" fontId="40" fillId="0" borderId="0" xfId="0" applyFont="1" applyFill="1" applyBorder="1" applyAlignment="1" applyProtection="1">
      <alignment horizontal="left"/>
      <protection locked="0"/>
    </xf>
    <xf numFmtId="0" fontId="41" fillId="4" borderId="0" xfId="0" applyFont="1" applyFill="1" applyAlignment="1" applyProtection="1">
      <alignment horizontal="center" vertical="top"/>
      <protection locked="0"/>
    </xf>
    <xf numFmtId="0" fontId="40" fillId="0" borderId="19" xfId="0" applyFont="1" applyFill="1" applyBorder="1" applyAlignment="1" applyProtection="1">
      <alignment horizontal="right"/>
      <protection locked="0"/>
    </xf>
    <xf numFmtId="0" fontId="36" fillId="2" borderId="0" xfId="0" applyFont="1" applyFill="1" applyAlignment="1" applyProtection="1">
      <alignment horizontal="left"/>
      <protection locked="0"/>
    </xf>
    <xf numFmtId="0" fontId="36" fillId="2" borderId="0" xfId="0" applyFont="1" applyFill="1" applyProtection="1"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28" fillId="0" borderId="19" xfId="0" applyFont="1" applyFill="1" applyBorder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20" fillId="0" borderId="0" xfId="0" applyFont="1" applyAlignment="1" applyProtection="1">
      <alignment vertical="top"/>
      <protection locked="0"/>
    </xf>
    <xf numFmtId="0" fontId="43" fillId="2" borderId="0" xfId="0" applyFont="1" applyFill="1" applyAlignment="1" applyProtection="1">
      <alignment horizontal="left" indent="1"/>
      <protection locked="0"/>
    </xf>
    <xf numFmtId="0" fontId="40" fillId="0" borderId="19" xfId="0" applyFont="1" applyFill="1" applyBorder="1" applyAlignment="1" applyProtection="1">
      <alignment horizontal="left"/>
      <protection locked="0"/>
    </xf>
    <xf numFmtId="0" fontId="45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39" fillId="0" borderId="19" xfId="0" applyFont="1" applyFill="1" applyBorder="1" applyProtection="1">
      <protection locked="0"/>
    </xf>
    <xf numFmtId="0" fontId="33" fillId="0" borderId="29" xfId="0" applyFont="1" applyFill="1" applyBorder="1" applyAlignment="1" applyProtection="1">
      <alignment horizontal="center"/>
      <protection locked="0"/>
    </xf>
    <xf numFmtId="0" fontId="45" fillId="0" borderId="0" xfId="0" applyFont="1" applyFill="1" applyBorder="1" applyAlignment="1" applyProtection="1">
      <alignment horizontal="right"/>
      <protection locked="0"/>
    </xf>
    <xf numFmtId="0" fontId="38" fillId="0" borderId="0" xfId="0" applyFont="1" applyFill="1" applyBorder="1" applyAlignment="1" applyProtection="1">
      <alignment horizontal="left"/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28" fillId="0" borderId="19" xfId="0" applyFont="1" applyBorder="1" applyAlignment="1" applyProtection="1">
      <alignment horizontal="right"/>
      <protection locked="0"/>
    </xf>
    <xf numFmtId="165" fontId="28" fillId="0" borderId="20" xfId="0" applyNumberFormat="1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 applyProtection="1">
      <alignment horizontal="left"/>
      <protection locked="0"/>
    </xf>
    <xf numFmtId="165" fontId="28" fillId="0" borderId="0" xfId="0" applyNumberFormat="1" applyFont="1" applyFill="1" applyBorder="1" applyAlignment="1" applyProtection="1">
      <alignment horizontal="center"/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165" fontId="28" fillId="0" borderId="13" xfId="0" applyNumberFormat="1" applyFont="1" applyFill="1" applyBorder="1" applyAlignment="1" applyProtection="1">
      <alignment horizontal="center"/>
      <protection locked="0"/>
    </xf>
    <xf numFmtId="165" fontId="28" fillId="0" borderId="30" xfId="0" applyNumberFormat="1" applyFont="1" applyFill="1" applyBorder="1" applyAlignment="1" applyProtection="1">
      <alignment horizontal="center"/>
      <protection locked="0"/>
    </xf>
    <xf numFmtId="165" fontId="28" fillId="0" borderId="31" xfId="0" applyNumberFormat="1" applyFont="1" applyFill="1" applyBorder="1" applyAlignment="1" applyProtection="1">
      <alignment horizontal="center"/>
      <protection locked="0"/>
    </xf>
    <xf numFmtId="165" fontId="28" fillId="0" borderId="27" xfId="0" applyNumberFormat="1" applyFont="1" applyFill="1" applyBorder="1" applyAlignment="1" applyProtection="1">
      <alignment horizontal="center"/>
      <protection locked="0"/>
    </xf>
    <xf numFmtId="165" fontId="28" fillId="0" borderId="32" xfId="0" applyNumberFormat="1" applyFont="1" applyFill="1" applyBorder="1" applyAlignment="1" applyProtection="1">
      <alignment horizontal="center"/>
      <protection locked="0"/>
    </xf>
    <xf numFmtId="0" fontId="45" fillId="0" borderId="19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 hidden="1"/>
    </xf>
    <xf numFmtId="0" fontId="49" fillId="0" borderId="19" xfId="0" applyFont="1" applyFill="1" applyBorder="1" applyAlignment="1" applyProtection="1">
      <alignment horizontal="center"/>
      <protection locked="0"/>
    </xf>
    <xf numFmtId="0" fontId="50" fillId="0" borderId="0" xfId="0" applyFont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51" fillId="2" borderId="0" xfId="0" applyFont="1" applyFill="1" applyAlignment="1" applyProtection="1">
      <alignment horizontal="left"/>
      <protection locked="0"/>
    </xf>
    <xf numFmtId="0" fontId="52" fillId="5" borderId="0" xfId="0" applyFont="1" applyFill="1" applyAlignment="1" applyProtection="1">
      <alignment horizontal="left"/>
      <protection locked="0" hidden="1"/>
    </xf>
    <xf numFmtId="0" fontId="2" fillId="0" borderId="19" xfId="0" applyFont="1" applyFill="1" applyBorder="1" applyAlignment="1" applyProtection="1">
      <alignment horizontal="right"/>
      <protection locked="0"/>
    </xf>
    <xf numFmtId="165" fontId="53" fillId="0" borderId="0" xfId="0" applyNumberFormat="1" applyFont="1" applyFill="1" applyBorder="1" applyAlignment="1" applyProtection="1">
      <alignment horizontal="left" vertical="top"/>
      <protection locked="0"/>
    </xf>
    <xf numFmtId="0" fontId="54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 hidden="1"/>
    </xf>
    <xf numFmtId="0" fontId="50" fillId="0" borderId="0" xfId="0" applyFont="1" applyProtection="1">
      <protection locked="0"/>
    </xf>
    <xf numFmtId="165" fontId="55" fillId="0" borderId="0" xfId="0" applyNumberFormat="1" applyFont="1" applyBorder="1" applyAlignment="1" applyProtection="1">
      <alignment horizontal="right"/>
      <protection locked="0"/>
    </xf>
    <xf numFmtId="1" fontId="28" fillId="0" borderId="0" xfId="0" applyNumberFormat="1" applyFont="1" applyFill="1" applyBorder="1" applyAlignment="1" applyProtection="1">
      <alignment horizontal="left"/>
      <protection locked="0"/>
    </xf>
    <xf numFmtId="0" fontId="54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56" fillId="0" borderId="0" xfId="0" applyFont="1" applyProtection="1">
      <protection locked="0"/>
    </xf>
    <xf numFmtId="0" fontId="56" fillId="6" borderId="0" xfId="0" applyFont="1" applyFill="1" applyProtection="1">
      <protection locked="0"/>
    </xf>
    <xf numFmtId="0" fontId="57" fillId="5" borderId="0" xfId="0" applyFont="1" applyFill="1" applyAlignment="1" applyProtection="1">
      <alignment horizontal="left"/>
      <protection locked="0" hidden="1"/>
    </xf>
    <xf numFmtId="0" fontId="56" fillId="0" borderId="0" xfId="0" applyFont="1" applyProtection="1">
      <protection locked="0" hidden="1"/>
    </xf>
    <xf numFmtId="0" fontId="54" fillId="0" borderId="0" xfId="0" applyFont="1" applyProtection="1">
      <protection locked="0"/>
    </xf>
    <xf numFmtId="165" fontId="58" fillId="0" borderId="0" xfId="0" applyNumberFormat="1" applyFont="1" applyFill="1" applyBorder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165" fontId="59" fillId="0" borderId="0" xfId="0" applyNumberFormat="1" applyFont="1" applyFill="1" applyBorder="1" applyAlignment="1" applyProtection="1">
      <alignment horizontal="center" vertical="top"/>
      <protection locked="0"/>
    </xf>
    <xf numFmtId="0" fontId="54" fillId="0" borderId="0" xfId="0" applyFont="1" applyFill="1" applyBorder="1" applyProtection="1">
      <protection locked="0"/>
    </xf>
    <xf numFmtId="0" fontId="42" fillId="2" borderId="0" xfId="0" applyFont="1" applyFill="1" applyAlignment="1" applyProtection="1">
      <alignment horizontal="left"/>
      <protection locked="0"/>
    </xf>
    <xf numFmtId="0" fontId="52" fillId="0" borderId="0" xfId="0" applyFont="1" applyAlignment="1" applyProtection="1">
      <alignment horizontal="left"/>
      <protection locked="0" hidden="1"/>
    </xf>
    <xf numFmtId="0" fontId="42" fillId="2" borderId="0" xfId="0" applyFont="1" applyFill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0" fontId="20" fillId="0" borderId="19" xfId="0" applyFont="1" applyFill="1" applyBorder="1" applyAlignment="1" applyProtection="1">
      <alignment horizontal="right"/>
      <protection locked="0"/>
    </xf>
    <xf numFmtId="165" fontId="61" fillId="0" borderId="0" xfId="0" applyNumberFormat="1" applyFont="1" applyFill="1" applyBorder="1" applyAlignment="1" applyProtection="1">
      <alignment horizontal="center"/>
      <protection locked="0"/>
    </xf>
    <xf numFmtId="0" fontId="62" fillId="2" borderId="0" xfId="0" applyFont="1" applyFill="1" applyProtection="1">
      <protection locked="0"/>
    </xf>
    <xf numFmtId="0" fontId="48" fillId="0" borderId="19" xfId="0" applyFont="1" applyFill="1" applyBorder="1" applyAlignment="1" applyProtection="1">
      <alignment horizontal="left"/>
      <protection locked="0"/>
    </xf>
    <xf numFmtId="165" fontId="63" fillId="0" borderId="0" xfId="0" applyNumberFormat="1" applyFont="1" applyBorder="1" applyAlignment="1" applyProtection="1">
      <alignment horizontal="right"/>
      <protection locked="0"/>
    </xf>
    <xf numFmtId="0" fontId="64" fillId="2" borderId="0" xfId="0" applyFont="1" applyFill="1" applyProtection="1">
      <protection locked="0"/>
    </xf>
    <xf numFmtId="0" fontId="65" fillId="2" borderId="0" xfId="0" applyFont="1" applyFill="1" applyProtection="1">
      <protection locked="0"/>
    </xf>
    <xf numFmtId="0" fontId="25" fillId="0" borderId="33" xfId="0" applyFont="1" applyFill="1" applyBorder="1" applyAlignment="1" applyProtection="1">
      <alignment horizontal="right"/>
      <protection locked="0"/>
    </xf>
    <xf numFmtId="166" fontId="25" fillId="0" borderId="34" xfId="0" applyNumberFormat="1" applyFont="1" applyFill="1" applyBorder="1" applyAlignment="1" applyProtection="1">
      <alignment horizontal="center"/>
      <protection locked="0"/>
    </xf>
    <xf numFmtId="0" fontId="25" fillId="0" borderId="34" xfId="0" applyFont="1" applyFill="1" applyBorder="1" applyAlignment="1" applyProtection="1">
      <alignment horizontal="left"/>
      <protection locked="0"/>
    </xf>
    <xf numFmtId="0" fontId="66" fillId="0" borderId="34" xfId="0" applyFont="1" applyFill="1" applyBorder="1" applyProtection="1">
      <protection locked="0"/>
    </xf>
    <xf numFmtId="0" fontId="25" fillId="0" borderId="34" xfId="0" applyFont="1" applyFill="1" applyBorder="1" applyAlignment="1" applyProtection="1">
      <alignment horizontal="right"/>
      <protection locked="0"/>
    </xf>
    <xf numFmtId="0" fontId="66" fillId="0" borderId="35" xfId="0" applyFont="1" applyFill="1" applyBorder="1" applyProtection="1">
      <protection locked="0"/>
    </xf>
    <xf numFmtId="0" fontId="67" fillId="2" borderId="0" xfId="0" applyFont="1" applyFill="1" applyProtection="1">
      <protection locked="0"/>
    </xf>
    <xf numFmtId="0" fontId="66" fillId="0" borderId="0" xfId="0" applyFont="1" applyProtection="1">
      <protection locked="0"/>
    </xf>
    <xf numFmtId="0" fontId="68" fillId="2" borderId="0" xfId="0" applyFont="1" applyFill="1" applyAlignment="1" applyProtection="1">
      <alignment horizontal="left"/>
      <protection locked="0"/>
    </xf>
    <xf numFmtId="0" fontId="70" fillId="2" borderId="0" xfId="1" applyFont="1" applyFill="1" applyAlignment="1" applyProtection="1">
      <alignment horizontal="right"/>
      <protection locked="0"/>
    </xf>
    <xf numFmtId="0" fontId="71" fillId="2" borderId="0" xfId="0" applyFont="1" applyFill="1" applyProtection="1">
      <protection locked="0"/>
    </xf>
    <xf numFmtId="1" fontId="72" fillId="0" borderId="2" xfId="0" applyNumberFormat="1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Protection="1">
      <protection locked="0"/>
    </xf>
    <xf numFmtId="1" fontId="31" fillId="0" borderId="0" xfId="0" applyNumberFormat="1" applyFont="1" applyFill="1" applyBorder="1" applyAlignment="1" applyProtection="1">
      <alignment horizontal="left"/>
      <protection locked="0"/>
    </xf>
    <xf numFmtId="1" fontId="31" fillId="0" borderId="0" xfId="0" applyNumberFormat="1" applyFont="1" applyFill="1" applyAlignment="1" applyProtection="1">
      <alignment horizontal="left"/>
      <protection locked="0"/>
    </xf>
    <xf numFmtId="1" fontId="40" fillId="0" borderId="10" xfId="0" applyNumberFormat="1" applyFont="1" applyFill="1" applyBorder="1" applyAlignment="1" applyProtection="1">
      <alignment horizontal="centerContinuous"/>
      <protection locked="0"/>
    </xf>
    <xf numFmtId="15" fontId="34" fillId="0" borderId="11" xfId="0" applyNumberFormat="1" applyFont="1" applyFill="1" applyBorder="1" applyAlignment="1" applyProtection="1">
      <alignment horizontal="center"/>
      <protection locked="0"/>
    </xf>
    <xf numFmtId="1" fontId="40" fillId="0" borderId="12" xfId="0" applyNumberFormat="1" applyFont="1" applyFill="1" applyBorder="1" applyAlignment="1" applyProtection="1">
      <alignment horizontal="centerContinuous"/>
      <protection locked="0"/>
    </xf>
    <xf numFmtId="1" fontId="40" fillId="0" borderId="15" xfId="0" applyNumberFormat="1" applyFont="1" applyFill="1" applyBorder="1" applyAlignment="1" applyProtection="1">
      <alignment horizontal="centerContinuous"/>
      <protection locked="0"/>
    </xf>
    <xf numFmtId="1" fontId="40" fillId="0" borderId="17" xfId="0" applyNumberFormat="1" applyFont="1" applyFill="1" applyBorder="1" applyAlignment="1" applyProtection="1">
      <alignment horizontal="centerContinuous"/>
      <protection locked="0"/>
    </xf>
    <xf numFmtId="1" fontId="40" fillId="0" borderId="18" xfId="0" applyNumberFormat="1" applyFont="1" applyFill="1" applyBorder="1" applyAlignment="1" applyProtection="1">
      <alignment horizontal="centerContinuous"/>
      <protection locked="0"/>
    </xf>
    <xf numFmtId="0" fontId="2" fillId="0" borderId="19" xfId="0" applyFont="1" applyFill="1" applyBorder="1" applyAlignment="1" applyProtection="1">
      <alignment horizontal="right" vertical="top"/>
      <protection locked="0"/>
    </xf>
    <xf numFmtId="0" fontId="2" fillId="0" borderId="0" xfId="0" applyFont="1" applyFill="1" applyBorder="1" applyAlignment="1" applyProtection="1">
      <alignment horizontal="right" vertical="top"/>
      <protection locked="0"/>
    </xf>
    <xf numFmtId="0" fontId="73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20" xfId="0" applyFont="1" applyFill="1" applyBorder="1" applyProtection="1"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40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33" fillId="0" borderId="21" xfId="0" applyFont="1" applyBorder="1" applyAlignment="1" applyProtection="1">
      <alignment horizontal="center"/>
      <protection locked="0"/>
    </xf>
    <xf numFmtId="0" fontId="33" fillId="0" borderId="22" xfId="0" applyFont="1" applyBorder="1" applyAlignment="1" applyProtection="1">
      <alignment horizontal="center"/>
      <protection locked="0"/>
    </xf>
    <xf numFmtId="0" fontId="33" fillId="0" borderId="23" xfId="0" applyFont="1" applyBorder="1" applyAlignment="1" applyProtection="1">
      <alignment horizontal="center"/>
      <protection locked="0"/>
    </xf>
    <xf numFmtId="165" fontId="2" fillId="0" borderId="21" xfId="0" applyNumberFormat="1" applyFont="1" applyBorder="1" applyAlignment="1" applyProtection="1">
      <alignment horizontal="center"/>
      <protection locked="0"/>
    </xf>
    <xf numFmtId="165" fontId="2" fillId="0" borderId="22" xfId="0" applyNumberFormat="1" applyFont="1" applyBorder="1" applyAlignment="1" applyProtection="1">
      <alignment horizontal="center"/>
      <protection locked="0"/>
    </xf>
    <xf numFmtId="165" fontId="2" fillId="0" borderId="23" xfId="0" applyNumberFormat="1" applyFont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right"/>
      <protection locked="0"/>
    </xf>
    <xf numFmtId="165" fontId="2" fillId="0" borderId="13" xfId="0" applyNumberFormat="1" applyFont="1" applyBorder="1" applyAlignment="1" applyProtection="1">
      <alignment horizontal="center"/>
      <protection locked="0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2" fillId="0" borderId="25" xfId="0" applyNumberFormat="1" applyFont="1" applyBorder="1" applyAlignment="1" applyProtection="1">
      <alignment horizontal="center"/>
      <protection locked="0"/>
    </xf>
    <xf numFmtId="0" fontId="52" fillId="0" borderId="0" xfId="0" applyFont="1" applyFill="1" applyBorder="1" applyAlignment="1" applyProtection="1">
      <alignment horizontal="left"/>
      <protection locked="0"/>
    </xf>
    <xf numFmtId="165" fontId="2" fillId="0" borderId="11" xfId="0" applyNumberFormat="1" applyFont="1" applyBorder="1" applyAlignment="1" applyProtection="1">
      <alignment horizontal="center"/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165" fontId="2" fillId="0" borderId="26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165" fontId="2" fillId="0" borderId="10" xfId="0" applyNumberFormat="1" applyFont="1" applyBorder="1" applyAlignment="1" applyProtection="1">
      <alignment horizontal="center"/>
      <protection locked="0"/>
    </xf>
    <xf numFmtId="165" fontId="2" fillId="0" borderId="28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4" fillId="0" borderId="19" xfId="0" applyFont="1" applyBorder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7" fontId="2" fillId="0" borderId="11" xfId="0" applyNumberFormat="1" applyFont="1" applyBorder="1" applyAlignment="1" applyProtection="1">
      <alignment horizontal="center"/>
      <protection locked="0"/>
    </xf>
    <xf numFmtId="167" fontId="2" fillId="0" borderId="26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7" fontId="2" fillId="0" borderId="20" xfId="0" applyNumberFormat="1" applyFont="1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10" fontId="2" fillId="0" borderId="2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5" fontId="0" fillId="0" borderId="26" xfId="0" applyNumberFormat="1" applyBorder="1" applyAlignment="1" applyProtection="1">
      <alignment horizontal="center"/>
      <protection locked="0"/>
    </xf>
    <xf numFmtId="167" fontId="0" fillId="0" borderId="26" xfId="0" applyNumberFormat="1" applyBorder="1" applyAlignment="1" applyProtection="1">
      <alignment horizontal="center"/>
      <protection locked="0"/>
    </xf>
    <xf numFmtId="165" fontId="55" fillId="0" borderId="0" xfId="0" applyNumberFormat="1" applyFont="1" applyBorder="1" applyAlignment="1" applyProtection="1">
      <alignment horizontal="center"/>
      <protection locked="0"/>
    </xf>
    <xf numFmtId="0" fontId="75" fillId="2" borderId="0" xfId="0" applyFont="1" applyFill="1" applyAlignment="1" applyProtection="1">
      <alignment horizontal="left"/>
      <protection locked="0"/>
    </xf>
    <xf numFmtId="165" fontId="63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Border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76" fillId="0" borderId="19" xfId="0" applyFont="1" applyBorder="1" applyAlignment="1" applyProtection="1">
      <alignment horizontal="center"/>
      <protection locked="0"/>
    </xf>
    <xf numFmtId="168" fontId="70" fillId="0" borderId="0" xfId="0" applyNumberFormat="1" applyFont="1" applyBorder="1" applyAlignment="1" applyProtection="1">
      <alignment horizontal="right"/>
      <protection locked="0"/>
    </xf>
    <xf numFmtId="167" fontId="0" fillId="0" borderId="0" xfId="0" applyNumberFormat="1" applyBorder="1" applyAlignment="1" applyProtection="1">
      <alignment horizontal="left"/>
      <protection locked="0"/>
    </xf>
    <xf numFmtId="166" fontId="2" fillId="0" borderId="0" xfId="0" applyNumberFormat="1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65" fontId="10" fillId="2" borderId="0" xfId="0" applyNumberFormat="1" applyFont="1" applyFill="1" applyProtection="1"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right"/>
      <protection locked="0"/>
    </xf>
    <xf numFmtId="165" fontId="2" fillId="0" borderId="0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165" fontId="55" fillId="0" borderId="0" xfId="0" applyNumberFormat="1" applyFont="1" applyBorder="1" applyAlignment="1" applyProtection="1">
      <alignment horizontal="left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166" fontId="2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77" fillId="0" borderId="0" xfId="0" applyFont="1" applyBorder="1" applyAlignment="1" applyProtection="1">
      <alignment horizontal="right"/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0" fontId="78" fillId="7" borderId="0" xfId="0" applyFont="1" applyFill="1" applyBorder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right"/>
      <protection locked="0"/>
    </xf>
    <xf numFmtId="0" fontId="25" fillId="0" borderId="34" xfId="0" applyFont="1" applyBorder="1" applyAlignment="1" applyProtection="1">
      <alignment horizontal="left"/>
      <protection locked="0"/>
    </xf>
    <xf numFmtId="0" fontId="25" fillId="0" borderId="34" xfId="0" applyFont="1" applyBorder="1" applyProtection="1">
      <protection locked="0"/>
    </xf>
    <xf numFmtId="0" fontId="25" fillId="0" borderId="34" xfId="0" applyFont="1" applyBorder="1" applyAlignment="1" applyProtection="1">
      <alignment horizontal="right"/>
      <protection locked="0"/>
    </xf>
    <xf numFmtId="165" fontId="79" fillId="0" borderId="34" xfId="0" applyNumberFormat="1" applyFont="1" applyBorder="1" applyAlignment="1" applyProtection="1">
      <alignment horizontal="left"/>
      <protection locked="0"/>
    </xf>
    <xf numFmtId="0" fontId="80" fillId="0" borderId="34" xfId="0" applyFont="1" applyBorder="1" applyProtection="1">
      <protection locked="0"/>
    </xf>
    <xf numFmtId="0" fontId="25" fillId="0" borderId="35" xfId="0" applyFont="1" applyBorder="1" applyProtection="1">
      <protection locked="0"/>
    </xf>
    <xf numFmtId="0" fontId="81" fillId="2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165" fontId="2" fillId="0" borderId="28" xfId="0" applyNumberFormat="1" applyFont="1" applyBorder="1" applyAlignment="1" applyProtection="1">
      <alignment horizontal="center"/>
      <protection locked="0"/>
    </xf>
    <xf numFmtId="0" fontId="74" fillId="0" borderId="0" xfId="0" applyFont="1" applyBorder="1" applyAlignment="1" applyProtection="1">
      <alignment horizontal="center"/>
      <protection locked="0"/>
    </xf>
    <xf numFmtId="0" fontId="82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left"/>
    </xf>
    <xf numFmtId="165" fontId="2" fillId="0" borderId="11" xfId="0" applyNumberFormat="1" applyFont="1" applyBorder="1" applyAlignment="1" applyProtection="1">
      <alignment horizontal="center"/>
      <protection locked="0"/>
    </xf>
    <xf numFmtId="165" fontId="2" fillId="0" borderId="26" xfId="0" applyNumberFormat="1" applyFon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25" xfId="0" applyNumberFormat="1" applyBorder="1" applyAlignment="1" applyProtection="1">
      <alignment horizontal="center"/>
      <protection locked="0"/>
    </xf>
    <xf numFmtId="166" fontId="2" fillId="0" borderId="11" xfId="0" applyNumberFormat="1" applyFont="1" applyBorder="1" applyAlignment="1" applyProtection="1">
      <alignment horizontal="center"/>
      <protection locked="0"/>
    </xf>
    <xf numFmtId="166" fontId="2" fillId="0" borderId="26" xfId="0" applyNumberFormat="1" applyFont="1" applyBorder="1" applyAlignment="1" applyProtection="1">
      <alignment horizontal="center"/>
      <protection locked="0"/>
    </xf>
    <xf numFmtId="167" fontId="2" fillId="0" borderId="11" xfId="0" applyNumberFormat="1" applyFont="1" applyBorder="1" applyAlignment="1" applyProtection="1">
      <alignment horizontal="center"/>
      <protection locked="0"/>
    </xf>
    <xf numFmtId="167" fontId="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 applyAlignment="1" applyProtection="1">
      <alignment horizontal="center"/>
      <protection locked="0"/>
    </xf>
    <xf numFmtId="165" fontId="0" fillId="0" borderId="28" xfId="0" applyNumberFormat="1" applyBorder="1" applyAlignment="1" applyProtection="1">
      <alignment horizontal="center"/>
      <protection locked="0"/>
    </xf>
    <xf numFmtId="0" fontId="74" fillId="0" borderId="21" xfId="0" applyFont="1" applyBorder="1" applyAlignment="1" applyProtection="1">
      <alignment horizontal="center"/>
      <protection locked="0"/>
    </xf>
    <xf numFmtId="0" fontId="74" fillId="0" borderId="22" xfId="0" applyFont="1" applyBorder="1" applyAlignment="1" applyProtection="1">
      <alignment horizontal="center"/>
      <protection locked="0"/>
    </xf>
    <xf numFmtId="0" fontId="74" fillId="0" borderId="24" xfId="0" applyFont="1" applyBorder="1" applyAlignment="1" applyProtection="1">
      <alignment horizontal="center"/>
      <protection locked="0"/>
    </xf>
    <xf numFmtId="0" fontId="74" fillId="0" borderId="25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165" fontId="0" fillId="0" borderId="11" xfId="0" applyNumberFormat="1" applyBorder="1" applyAlignment="1" applyProtection="1">
      <alignment horizontal="center"/>
      <protection locked="0"/>
    </xf>
    <xf numFmtId="165" fontId="0" fillId="0" borderId="26" xfId="0" applyNumberFormat="1" applyBorder="1" applyAlignment="1" applyProtection="1">
      <alignment horizontal="center"/>
      <protection locked="0"/>
    </xf>
    <xf numFmtId="0" fontId="64" fillId="0" borderId="0" xfId="0" applyFont="1" applyFill="1" applyBorder="1" applyAlignment="1" applyProtection="1">
      <alignment horizontal="right" vertical="center" wrapText="1"/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74" fillId="0" borderId="13" xfId="0" applyFont="1" applyBorder="1" applyAlignment="1" applyProtection="1">
      <alignment horizontal="center"/>
      <protection locked="0"/>
    </xf>
    <xf numFmtId="0" fontId="33" fillId="0" borderId="29" xfId="0" applyFont="1" applyBorder="1" applyAlignment="1" applyProtection="1">
      <alignment horizontal="center"/>
      <protection locked="0"/>
    </xf>
    <xf numFmtId="165" fontId="0" fillId="0" borderId="13" xfId="0" applyNumberFormat="1" applyBorder="1" applyAlignment="1" applyProtection="1">
      <alignment horizontal="center"/>
      <protection locked="0"/>
    </xf>
    <xf numFmtId="165" fontId="0" fillId="0" borderId="25" xfId="0" applyNumberFormat="1" applyBorder="1" applyAlignment="1" applyProtection="1">
      <alignment horizontal="center"/>
      <protection locked="0"/>
    </xf>
    <xf numFmtId="0" fontId="33" fillId="0" borderId="19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45" fillId="0" borderId="0" xfId="0" applyFont="1" applyFill="1" applyBorder="1" applyAlignment="1" applyProtection="1">
      <alignment horizontal="left" vertical="top" indent="2"/>
      <protection locked="0"/>
    </xf>
    <xf numFmtId="0" fontId="45" fillId="0" borderId="20" xfId="0" applyFont="1" applyFill="1" applyBorder="1" applyAlignment="1" applyProtection="1">
      <alignment horizontal="left" vertical="top" indent="2"/>
      <protection locked="0"/>
    </xf>
    <xf numFmtId="0" fontId="46" fillId="0" borderId="0" xfId="0" applyFont="1" applyFill="1" applyBorder="1" applyAlignment="1" applyProtection="1">
      <alignment horizontal="left" vertical="top" wrapText="1"/>
      <protection locked="0"/>
    </xf>
    <xf numFmtId="0" fontId="46" fillId="0" borderId="20" xfId="0" applyFont="1" applyFill="1" applyBorder="1" applyAlignment="1" applyProtection="1">
      <alignment horizontal="left" vertical="top" wrapText="1"/>
      <protection locked="0"/>
    </xf>
    <xf numFmtId="0" fontId="60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1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 applyProtection="1">
      <alignment horizontal="center" vertical="center" wrapText="1"/>
      <protection locked="0"/>
    </xf>
    <xf numFmtId="0" fontId="14" fillId="3" borderId="6" xfId="0" applyFont="1" applyFill="1" applyBorder="1" applyAlignment="1" applyProtection="1">
      <alignment horizontal="left" wrapText="1"/>
      <protection locked="0"/>
    </xf>
    <xf numFmtId="0" fontId="26" fillId="0" borderId="6" xfId="0" applyFont="1" applyBorder="1" applyAlignment="1" applyProtection="1">
      <alignment wrapText="1"/>
      <protection locked="0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22" xfId="0" applyFont="1" applyBorder="1" applyAlignment="1" applyProtection="1">
      <alignment horizontal="center"/>
      <protection locked="0" hidden="1"/>
    </xf>
    <xf numFmtId="0" fontId="3" fillId="0" borderId="23" xfId="0" applyFont="1" applyBorder="1" applyAlignment="1" applyProtection="1">
      <alignment horizontal="center"/>
      <protection locked="0" hidden="1"/>
    </xf>
  </cellXfs>
  <cellStyles count="2">
    <cellStyle name="Hyperlink" xfId="1" builtinId="8"/>
    <cellStyle name="Normal" xfId="0" builtinId="0"/>
  </cellStyles>
  <dxfs count="28">
    <dxf>
      <font>
        <condense val="0"/>
        <extend val="0"/>
        <color indexed="22"/>
      </font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4"/>
      </font>
    </dxf>
    <dxf>
      <font>
        <b val="0"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indexed="9"/>
      </font>
      <fill>
        <patternFill>
          <bgColor indexed="10"/>
        </patternFill>
      </fill>
    </dxf>
    <dxf>
      <font>
        <condense val="0"/>
        <extend val="0"/>
        <color indexed="14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6218220624805E-2"/>
          <c:y val="1.577340416389373E-2"/>
          <c:w val="0.96926456582802267"/>
          <c:h val="0.97164169649585375"/>
        </c:manualLayout>
      </c:layout>
      <c:scatterChart>
        <c:scatterStyle val="lineMarker"/>
        <c:varyColors val="0"/>
        <c:ser>
          <c:idx val="2"/>
          <c:order val="0"/>
          <c:tx>
            <c:v>Control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[1]Graf!$G$140:$H$140</c:f>
              <c:numCache>
                <c:formatCode>General</c:formatCode>
                <c:ptCount val="2"/>
                <c:pt idx="0">
                  <c:v>0</c:v>
                </c:pt>
                <c:pt idx="1">
                  <c:v>3300</c:v>
                </c:pt>
              </c:numCache>
            </c:numRef>
          </c:xVal>
          <c:yVal>
            <c:numRef>
              <c:f>[1]Graf!$G$141:$H$141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  <c:smooth val="0"/>
        </c:ser>
        <c:ser>
          <c:idx val="0"/>
          <c:order val="1"/>
          <c:tx>
            <c:v>Cap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[1]Graf!$C$140:$G$140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</c:numCache>
            </c:numRef>
          </c:xVal>
          <c:yVal>
            <c:numRef>
              <c:f>[1]Graf!$C$141:$G$141</c:f>
              <c:numCache>
                <c:formatCode>General</c:formatCode>
                <c:ptCount val="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Pile 1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[1]Graf!$C$147:$AM$147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[1]Graf!$C$149:$AM$149</c:f>
              <c:numCache>
                <c:formatCode>General</c:formatCode>
                <c:ptCount val="37"/>
                <c:pt idx="0">
                  <c:v>162.5</c:v>
                </c:pt>
                <c:pt idx="1">
                  <c:v>165.34854631021099</c:v>
                </c:pt>
                <c:pt idx="2">
                  <c:v>173.80763360264217</c:v>
                </c:pt>
                <c:pt idx="3">
                  <c:v>187.62023679041775</c:v>
                </c:pt>
                <c:pt idx="4">
                  <c:v>206.36666691519159</c:v>
                </c:pt>
                <c:pt idx="5">
                  <c:v>229.47732318377388</c:v>
                </c:pt>
                <c:pt idx="6">
                  <c:v>256.25</c:v>
                </c:pt>
                <c:pt idx="7">
                  <c:v>285.87122312643703</c:v>
                </c:pt>
                <c:pt idx="8">
                  <c:v>317.4409666874505</c:v>
                </c:pt>
                <c:pt idx="9">
                  <c:v>350</c:v>
                </c:pt>
                <c:pt idx="10">
                  <c:v>382.5590333125495</c:v>
                </c:pt>
                <c:pt idx="11">
                  <c:v>414.12877687356286</c:v>
                </c:pt>
                <c:pt idx="12">
                  <c:v>443.75</c:v>
                </c:pt>
                <c:pt idx="13">
                  <c:v>470.52267681622612</c:v>
                </c:pt>
                <c:pt idx="14">
                  <c:v>493.63333308480838</c:v>
                </c:pt>
                <c:pt idx="15">
                  <c:v>512.37976320958228</c:v>
                </c:pt>
                <c:pt idx="16">
                  <c:v>526.19236639735777</c:v>
                </c:pt>
                <c:pt idx="17">
                  <c:v>534.65145368978904</c:v>
                </c:pt>
                <c:pt idx="18">
                  <c:v>537.5</c:v>
                </c:pt>
                <c:pt idx="19">
                  <c:v>534.65145368978904</c:v>
                </c:pt>
                <c:pt idx="20">
                  <c:v>526.19236639735777</c:v>
                </c:pt>
                <c:pt idx="21">
                  <c:v>512.37976320958228</c:v>
                </c:pt>
                <c:pt idx="22">
                  <c:v>493.63333308480838</c:v>
                </c:pt>
                <c:pt idx="23">
                  <c:v>470.52267681622612</c:v>
                </c:pt>
                <c:pt idx="24">
                  <c:v>443.75</c:v>
                </c:pt>
                <c:pt idx="25">
                  <c:v>414.12877687356286</c:v>
                </c:pt>
                <c:pt idx="26">
                  <c:v>382.5590333125495</c:v>
                </c:pt>
                <c:pt idx="27">
                  <c:v>350</c:v>
                </c:pt>
                <c:pt idx="28">
                  <c:v>317.4409666874505</c:v>
                </c:pt>
                <c:pt idx="29">
                  <c:v>285.87122312643714</c:v>
                </c:pt>
                <c:pt idx="30">
                  <c:v>256.25</c:v>
                </c:pt>
                <c:pt idx="31">
                  <c:v>229.47732318377388</c:v>
                </c:pt>
                <c:pt idx="32">
                  <c:v>206.36666691519162</c:v>
                </c:pt>
                <c:pt idx="33">
                  <c:v>187.62023679041775</c:v>
                </c:pt>
                <c:pt idx="34">
                  <c:v>173.8076336026422</c:v>
                </c:pt>
                <c:pt idx="35">
                  <c:v>165.34854631021099</c:v>
                </c:pt>
                <c:pt idx="36">
                  <c:v>162.5</c:v>
                </c:pt>
              </c:numCache>
            </c:numRef>
          </c:yVal>
          <c:smooth val="1"/>
        </c:ser>
        <c:ser>
          <c:idx val="4"/>
          <c:order val="3"/>
          <c:tx>
            <c:v>Pile 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[1]Graf!$C$148:$AM$148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[1]Graf!$C$149:$AM$149</c:f>
              <c:numCache>
                <c:formatCode>General</c:formatCode>
                <c:ptCount val="37"/>
                <c:pt idx="0">
                  <c:v>162.5</c:v>
                </c:pt>
                <c:pt idx="1">
                  <c:v>165.34854631021099</c:v>
                </c:pt>
                <c:pt idx="2">
                  <c:v>173.80763360264217</c:v>
                </c:pt>
                <c:pt idx="3">
                  <c:v>187.62023679041775</c:v>
                </c:pt>
                <c:pt idx="4">
                  <c:v>206.36666691519159</c:v>
                </c:pt>
                <c:pt idx="5">
                  <c:v>229.47732318377388</c:v>
                </c:pt>
                <c:pt idx="6">
                  <c:v>256.25</c:v>
                </c:pt>
                <c:pt idx="7">
                  <c:v>285.87122312643703</c:v>
                </c:pt>
                <c:pt idx="8">
                  <c:v>317.4409666874505</c:v>
                </c:pt>
                <c:pt idx="9">
                  <c:v>350</c:v>
                </c:pt>
                <c:pt idx="10">
                  <c:v>382.5590333125495</c:v>
                </c:pt>
                <c:pt idx="11">
                  <c:v>414.12877687356286</c:v>
                </c:pt>
                <c:pt idx="12">
                  <c:v>443.75</c:v>
                </c:pt>
                <c:pt idx="13">
                  <c:v>470.52267681622612</c:v>
                </c:pt>
                <c:pt idx="14">
                  <c:v>493.63333308480838</c:v>
                </c:pt>
                <c:pt idx="15">
                  <c:v>512.37976320958228</c:v>
                </c:pt>
                <c:pt idx="16">
                  <c:v>526.19236639735777</c:v>
                </c:pt>
                <c:pt idx="17">
                  <c:v>534.65145368978904</c:v>
                </c:pt>
                <c:pt idx="18">
                  <c:v>537.5</c:v>
                </c:pt>
                <c:pt idx="19">
                  <c:v>534.65145368978904</c:v>
                </c:pt>
                <c:pt idx="20">
                  <c:v>526.19236639735777</c:v>
                </c:pt>
                <c:pt idx="21">
                  <c:v>512.37976320958228</c:v>
                </c:pt>
                <c:pt idx="22">
                  <c:v>493.63333308480838</c:v>
                </c:pt>
                <c:pt idx="23">
                  <c:v>470.52267681622612</c:v>
                </c:pt>
                <c:pt idx="24">
                  <c:v>443.75</c:v>
                </c:pt>
                <c:pt idx="25">
                  <c:v>414.12877687356286</c:v>
                </c:pt>
                <c:pt idx="26">
                  <c:v>382.5590333125495</c:v>
                </c:pt>
                <c:pt idx="27">
                  <c:v>350</c:v>
                </c:pt>
                <c:pt idx="28">
                  <c:v>317.4409666874505</c:v>
                </c:pt>
                <c:pt idx="29">
                  <c:v>285.87122312643714</c:v>
                </c:pt>
                <c:pt idx="30">
                  <c:v>256.25</c:v>
                </c:pt>
                <c:pt idx="31">
                  <c:v>229.47732318377388</c:v>
                </c:pt>
                <c:pt idx="32">
                  <c:v>206.36666691519162</c:v>
                </c:pt>
                <c:pt idx="33">
                  <c:v>187.62023679041775</c:v>
                </c:pt>
                <c:pt idx="34">
                  <c:v>173.8076336026422</c:v>
                </c:pt>
                <c:pt idx="35">
                  <c:v>165.34854631021099</c:v>
                </c:pt>
                <c:pt idx="36">
                  <c:v>162.5</c:v>
                </c:pt>
              </c:numCache>
            </c:numRef>
          </c:yVal>
          <c:smooth val="1"/>
        </c:ser>
        <c:ser>
          <c:idx val="5"/>
          <c:order val="4"/>
          <c:tx>
            <c:v>Fill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[1]Graf!$I$142:$AH$142</c:f>
              <c:numCache>
                <c:formatCode>General</c:formatCode>
                <c:ptCount val="26"/>
                <c:pt idx="0">
                  <c:v>860</c:v>
                </c:pt>
                <c:pt idx="1">
                  <c:v>860</c:v>
                </c:pt>
                <c:pt idx="3">
                  <c:v>895</c:v>
                </c:pt>
                <c:pt idx="4">
                  <c:v>895</c:v>
                </c:pt>
                <c:pt idx="6">
                  <c:v>930</c:v>
                </c:pt>
                <c:pt idx="7">
                  <c:v>930</c:v>
                </c:pt>
                <c:pt idx="9">
                  <c:v>965</c:v>
                </c:pt>
                <c:pt idx="10">
                  <c:v>965</c:v>
                </c:pt>
                <c:pt idx="12">
                  <c:v>1000</c:v>
                </c:pt>
                <c:pt idx="13">
                  <c:v>1000</c:v>
                </c:pt>
                <c:pt idx="15">
                  <c:v>1035</c:v>
                </c:pt>
                <c:pt idx="16">
                  <c:v>1035</c:v>
                </c:pt>
                <c:pt idx="18">
                  <c:v>1070</c:v>
                </c:pt>
                <c:pt idx="19">
                  <c:v>1070</c:v>
                </c:pt>
                <c:pt idx="21">
                  <c:v>1105</c:v>
                </c:pt>
                <c:pt idx="22">
                  <c:v>1105</c:v>
                </c:pt>
                <c:pt idx="24">
                  <c:v>1140</c:v>
                </c:pt>
                <c:pt idx="25">
                  <c:v>1140</c:v>
                </c:pt>
              </c:numCache>
            </c:numRef>
          </c:xVal>
          <c:yVal>
            <c:numRef>
              <c:f>[1]Graf!$I$143:$AH$143</c:f>
              <c:numCache>
                <c:formatCode>General</c:formatCode>
                <c:ptCount val="26"/>
                <c:pt idx="0">
                  <c:v>1400</c:v>
                </c:pt>
                <c:pt idx="1">
                  <c:v>1900</c:v>
                </c:pt>
                <c:pt idx="3">
                  <c:v>1400</c:v>
                </c:pt>
                <c:pt idx="4">
                  <c:v>1900</c:v>
                </c:pt>
                <c:pt idx="6">
                  <c:v>1400</c:v>
                </c:pt>
                <c:pt idx="7">
                  <c:v>1900</c:v>
                </c:pt>
                <c:pt idx="9">
                  <c:v>1400</c:v>
                </c:pt>
                <c:pt idx="10">
                  <c:v>1900</c:v>
                </c:pt>
                <c:pt idx="12">
                  <c:v>1400</c:v>
                </c:pt>
                <c:pt idx="13">
                  <c:v>1900</c:v>
                </c:pt>
                <c:pt idx="15">
                  <c:v>1400</c:v>
                </c:pt>
                <c:pt idx="16">
                  <c:v>1900</c:v>
                </c:pt>
                <c:pt idx="18">
                  <c:v>1400</c:v>
                </c:pt>
                <c:pt idx="19">
                  <c:v>1900</c:v>
                </c:pt>
                <c:pt idx="21">
                  <c:v>1400</c:v>
                </c:pt>
                <c:pt idx="22">
                  <c:v>1900</c:v>
                </c:pt>
                <c:pt idx="24">
                  <c:v>1400</c:v>
                </c:pt>
                <c:pt idx="25">
                  <c:v>1900</c:v>
                </c:pt>
              </c:numCache>
            </c:numRef>
          </c:yVal>
          <c:smooth val="0"/>
        </c:ser>
        <c:ser>
          <c:idx val="1"/>
          <c:order val="5"/>
          <c:tx>
            <c:v>Column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[1]Graf!$C$142:$G$142</c:f>
              <c:numCache>
                <c:formatCode>General</c:formatCode>
                <c:ptCount val="5"/>
                <c:pt idx="0">
                  <c:v>825</c:v>
                </c:pt>
                <c:pt idx="1">
                  <c:v>825</c:v>
                </c:pt>
                <c:pt idx="2">
                  <c:v>1175</c:v>
                </c:pt>
                <c:pt idx="3">
                  <c:v>1175</c:v>
                </c:pt>
                <c:pt idx="4">
                  <c:v>825</c:v>
                </c:pt>
              </c:numCache>
            </c:numRef>
          </c:xVal>
          <c:yVal>
            <c:numRef>
              <c:f>[1]Graf!$C$143:$G$143</c:f>
              <c:numCache>
                <c:formatCode>General</c:formatCode>
                <c:ptCount val="5"/>
                <c:pt idx="0">
                  <c:v>1400</c:v>
                </c:pt>
                <c:pt idx="1">
                  <c:v>1900</c:v>
                </c:pt>
                <c:pt idx="2">
                  <c:v>1900</c:v>
                </c:pt>
                <c:pt idx="3">
                  <c:v>1400</c:v>
                </c:pt>
                <c:pt idx="4">
                  <c:v>1400</c:v>
                </c:pt>
              </c:numCache>
            </c:numRef>
          </c:yVal>
          <c:smooth val="0"/>
        </c:ser>
        <c:ser>
          <c:idx val="6"/>
          <c:order val="6"/>
          <c:tx>
            <c:v>Pile 3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[1]Graf!$C$147:$AM$147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[1]Graf!$C$150:$AM$150</c:f>
              <c:numCache>
                <c:formatCode>General</c:formatCode>
                <c:ptCount val="37"/>
                <c:pt idx="0">
                  <c:v>1462.5</c:v>
                </c:pt>
                <c:pt idx="1">
                  <c:v>1465.3485463102111</c:v>
                </c:pt>
                <c:pt idx="2">
                  <c:v>1473.8076336026422</c:v>
                </c:pt>
                <c:pt idx="3">
                  <c:v>1487.6202367904177</c:v>
                </c:pt>
                <c:pt idx="4">
                  <c:v>1506.3666669151917</c:v>
                </c:pt>
                <c:pt idx="5">
                  <c:v>1529.4773231837739</c:v>
                </c:pt>
                <c:pt idx="6">
                  <c:v>1556.25</c:v>
                </c:pt>
                <c:pt idx="7">
                  <c:v>1585.8712231264371</c:v>
                </c:pt>
                <c:pt idx="8">
                  <c:v>1617.4409666874506</c:v>
                </c:pt>
                <c:pt idx="9">
                  <c:v>1650</c:v>
                </c:pt>
                <c:pt idx="10">
                  <c:v>1682.5590333125494</c:v>
                </c:pt>
                <c:pt idx="11">
                  <c:v>1714.1287768735629</c:v>
                </c:pt>
                <c:pt idx="12">
                  <c:v>1743.75</c:v>
                </c:pt>
                <c:pt idx="13">
                  <c:v>1770.5226768162261</c:v>
                </c:pt>
                <c:pt idx="14">
                  <c:v>1793.6333330848083</c:v>
                </c:pt>
                <c:pt idx="15">
                  <c:v>1812.3797632095823</c:v>
                </c:pt>
                <c:pt idx="16">
                  <c:v>1826.1923663973578</c:v>
                </c:pt>
                <c:pt idx="17">
                  <c:v>1834.6514536897889</c:v>
                </c:pt>
                <c:pt idx="18">
                  <c:v>1837.5</c:v>
                </c:pt>
                <c:pt idx="19">
                  <c:v>1834.6514536897889</c:v>
                </c:pt>
                <c:pt idx="20">
                  <c:v>1826.1923663973578</c:v>
                </c:pt>
                <c:pt idx="21">
                  <c:v>1812.3797632095823</c:v>
                </c:pt>
                <c:pt idx="22">
                  <c:v>1793.6333330848083</c:v>
                </c:pt>
                <c:pt idx="23">
                  <c:v>1770.5226768162261</c:v>
                </c:pt>
                <c:pt idx="24">
                  <c:v>1743.75</c:v>
                </c:pt>
                <c:pt idx="25">
                  <c:v>1714.1287768735629</c:v>
                </c:pt>
                <c:pt idx="26">
                  <c:v>1682.5590333125494</c:v>
                </c:pt>
                <c:pt idx="27">
                  <c:v>1650</c:v>
                </c:pt>
                <c:pt idx="28">
                  <c:v>1617.4409666874506</c:v>
                </c:pt>
                <c:pt idx="29">
                  <c:v>1585.8712231264371</c:v>
                </c:pt>
                <c:pt idx="30">
                  <c:v>1556.25</c:v>
                </c:pt>
                <c:pt idx="31">
                  <c:v>1529.4773231837739</c:v>
                </c:pt>
                <c:pt idx="32">
                  <c:v>1506.3666669151917</c:v>
                </c:pt>
                <c:pt idx="33">
                  <c:v>1487.6202367904177</c:v>
                </c:pt>
                <c:pt idx="34">
                  <c:v>1473.8076336026422</c:v>
                </c:pt>
                <c:pt idx="35">
                  <c:v>1465.3485463102111</c:v>
                </c:pt>
                <c:pt idx="36">
                  <c:v>1462.5</c:v>
                </c:pt>
              </c:numCache>
            </c:numRef>
          </c:yVal>
          <c:smooth val="0"/>
        </c:ser>
        <c:ser>
          <c:idx val="7"/>
          <c:order val="7"/>
          <c:tx>
            <c:v>Pile 4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[1]Graf!$C$148:$AM$148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[1]Graf!$C$150:$AM$150</c:f>
              <c:numCache>
                <c:formatCode>General</c:formatCode>
                <c:ptCount val="37"/>
                <c:pt idx="0">
                  <c:v>1462.5</c:v>
                </c:pt>
                <c:pt idx="1">
                  <c:v>1465.3485463102111</c:v>
                </c:pt>
                <c:pt idx="2">
                  <c:v>1473.8076336026422</c:v>
                </c:pt>
                <c:pt idx="3">
                  <c:v>1487.6202367904177</c:v>
                </c:pt>
                <c:pt idx="4">
                  <c:v>1506.3666669151917</c:v>
                </c:pt>
                <c:pt idx="5">
                  <c:v>1529.4773231837739</c:v>
                </c:pt>
                <c:pt idx="6">
                  <c:v>1556.25</c:v>
                </c:pt>
                <c:pt idx="7">
                  <c:v>1585.8712231264371</c:v>
                </c:pt>
                <c:pt idx="8">
                  <c:v>1617.4409666874506</c:v>
                </c:pt>
                <c:pt idx="9">
                  <c:v>1650</c:v>
                </c:pt>
                <c:pt idx="10">
                  <c:v>1682.5590333125494</c:v>
                </c:pt>
                <c:pt idx="11">
                  <c:v>1714.1287768735629</c:v>
                </c:pt>
                <c:pt idx="12">
                  <c:v>1743.75</c:v>
                </c:pt>
                <c:pt idx="13">
                  <c:v>1770.5226768162261</c:v>
                </c:pt>
                <c:pt idx="14">
                  <c:v>1793.6333330848083</c:v>
                </c:pt>
                <c:pt idx="15">
                  <c:v>1812.3797632095823</c:v>
                </c:pt>
                <c:pt idx="16">
                  <c:v>1826.1923663973578</c:v>
                </c:pt>
                <c:pt idx="17">
                  <c:v>1834.6514536897889</c:v>
                </c:pt>
                <c:pt idx="18">
                  <c:v>1837.5</c:v>
                </c:pt>
                <c:pt idx="19">
                  <c:v>1834.6514536897889</c:v>
                </c:pt>
                <c:pt idx="20">
                  <c:v>1826.1923663973578</c:v>
                </c:pt>
                <c:pt idx="21">
                  <c:v>1812.3797632095823</c:v>
                </c:pt>
                <c:pt idx="22">
                  <c:v>1793.6333330848083</c:v>
                </c:pt>
                <c:pt idx="23">
                  <c:v>1770.5226768162261</c:v>
                </c:pt>
                <c:pt idx="24">
                  <c:v>1743.75</c:v>
                </c:pt>
                <c:pt idx="25">
                  <c:v>1714.1287768735629</c:v>
                </c:pt>
                <c:pt idx="26">
                  <c:v>1682.5590333125494</c:v>
                </c:pt>
                <c:pt idx="27">
                  <c:v>1650</c:v>
                </c:pt>
                <c:pt idx="28">
                  <c:v>1617.4409666874506</c:v>
                </c:pt>
                <c:pt idx="29">
                  <c:v>1585.8712231264371</c:v>
                </c:pt>
                <c:pt idx="30">
                  <c:v>1556.25</c:v>
                </c:pt>
                <c:pt idx="31">
                  <c:v>1529.4773231837739</c:v>
                </c:pt>
                <c:pt idx="32">
                  <c:v>1506.3666669151917</c:v>
                </c:pt>
                <c:pt idx="33">
                  <c:v>1487.6202367904177</c:v>
                </c:pt>
                <c:pt idx="34">
                  <c:v>1473.8076336026422</c:v>
                </c:pt>
                <c:pt idx="35">
                  <c:v>1465.3485463102111</c:v>
                </c:pt>
                <c:pt idx="36">
                  <c:v>1462.5</c:v>
                </c:pt>
              </c:numCache>
            </c:numRef>
          </c:yVal>
          <c:smooth val="0"/>
        </c:ser>
        <c:ser>
          <c:idx val="8"/>
          <c:order val="8"/>
          <c:tx>
            <c:v>Pile 6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[1]Graf!$C$148:$AM$148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[1]Graf!$C$151:$AM$151</c:f>
              <c:numCache>
                <c:formatCode>General</c:formatCode>
                <c:ptCount val="37"/>
                <c:pt idx="0">
                  <c:v>2762.5</c:v>
                </c:pt>
                <c:pt idx="1">
                  <c:v>2765.3485463102111</c:v>
                </c:pt>
                <c:pt idx="2">
                  <c:v>2773.8076336026425</c:v>
                </c:pt>
                <c:pt idx="3">
                  <c:v>2787.6202367904179</c:v>
                </c:pt>
                <c:pt idx="4">
                  <c:v>2806.3666669151917</c:v>
                </c:pt>
                <c:pt idx="5">
                  <c:v>2829.4773231837739</c:v>
                </c:pt>
                <c:pt idx="6">
                  <c:v>2856.25</c:v>
                </c:pt>
                <c:pt idx="7">
                  <c:v>2885.8712231264371</c:v>
                </c:pt>
                <c:pt idx="8">
                  <c:v>2917.4409666874508</c:v>
                </c:pt>
                <c:pt idx="9">
                  <c:v>2950</c:v>
                </c:pt>
                <c:pt idx="10">
                  <c:v>2982.5590333125492</c:v>
                </c:pt>
                <c:pt idx="11">
                  <c:v>3014.1287768735629</c:v>
                </c:pt>
                <c:pt idx="12">
                  <c:v>3043.75</c:v>
                </c:pt>
                <c:pt idx="13">
                  <c:v>3070.5226768162261</c:v>
                </c:pt>
                <c:pt idx="14">
                  <c:v>3093.6333330848083</c:v>
                </c:pt>
                <c:pt idx="15">
                  <c:v>3112.3797632095821</c:v>
                </c:pt>
                <c:pt idx="16">
                  <c:v>3126.1923663973575</c:v>
                </c:pt>
                <c:pt idx="17">
                  <c:v>3134.6514536897889</c:v>
                </c:pt>
                <c:pt idx="18">
                  <c:v>3137.5</c:v>
                </c:pt>
                <c:pt idx="19">
                  <c:v>3134.6514536897889</c:v>
                </c:pt>
                <c:pt idx="20">
                  <c:v>3126.1923663973575</c:v>
                </c:pt>
                <c:pt idx="21">
                  <c:v>3112.3797632095821</c:v>
                </c:pt>
                <c:pt idx="22">
                  <c:v>3093.6333330848083</c:v>
                </c:pt>
                <c:pt idx="23">
                  <c:v>3070.5226768162261</c:v>
                </c:pt>
                <c:pt idx="24">
                  <c:v>3043.75</c:v>
                </c:pt>
                <c:pt idx="25">
                  <c:v>3014.1287768735629</c:v>
                </c:pt>
                <c:pt idx="26">
                  <c:v>2982.5590333125492</c:v>
                </c:pt>
                <c:pt idx="27">
                  <c:v>2950</c:v>
                </c:pt>
                <c:pt idx="28">
                  <c:v>2917.4409666874508</c:v>
                </c:pt>
                <c:pt idx="29">
                  <c:v>2885.8712231264371</c:v>
                </c:pt>
                <c:pt idx="30">
                  <c:v>2856.25</c:v>
                </c:pt>
                <c:pt idx="31">
                  <c:v>2829.4773231837739</c:v>
                </c:pt>
                <c:pt idx="32">
                  <c:v>2806.3666669151917</c:v>
                </c:pt>
                <c:pt idx="33">
                  <c:v>2787.6202367904179</c:v>
                </c:pt>
                <c:pt idx="34">
                  <c:v>2773.8076336026425</c:v>
                </c:pt>
                <c:pt idx="35">
                  <c:v>2765.3485463102111</c:v>
                </c:pt>
                <c:pt idx="36">
                  <c:v>2762.5</c:v>
                </c:pt>
              </c:numCache>
            </c:numRef>
          </c:yVal>
          <c:smooth val="0"/>
        </c:ser>
        <c:ser>
          <c:idx val="9"/>
          <c:order val="9"/>
          <c:tx>
            <c:v>Pile 5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[1]Graf!$C$147:$AM$147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[1]Graf!$C$151:$AM$151</c:f>
              <c:numCache>
                <c:formatCode>General</c:formatCode>
                <c:ptCount val="37"/>
                <c:pt idx="0">
                  <c:v>2762.5</c:v>
                </c:pt>
                <c:pt idx="1">
                  <c:v>2765.3485463102111</c:v>
                </c:pt>
                <c:pt idx="2">
                  <c:v>2773.8076336026425</c:v>
                </c:pt>
                <c:pt idx="3">
                  <c:v>2787.6202367904179</c:v>
                </c:pt>
                <c:pt idx="4">
                  <c:v>2806.3666669151917</c:v>
                </c:pt>
                <c:pt idx="5">
                  <c:v>2829.4773231837739</c:v>
                </c:pt>
                <c:pt idx="6">
                  <c:v>2856.25</c:v>
                </c:pt>
                <c:pt idx="7">
                  <c:v>2885.8712231264371</c:v>
                </c:pt>
                <c:pt idx="8">
                  <c:v>2917.4409666874508</c:v>
                </c:pt>
                <c:pt idx="9">
                  <c:v>2950</c:v>
                </c:pt>
                <c:pt idx="10">
                  <c:v>2982.5590333125492</c:v>
                </c:pt>
                <c:pt idx="11">
                  <c:v>3014.1287768735629</c:v>
                </c:pt>
                <c:pt idx="12">
                  <c:v>3043.75</c:v>
                </c:pt>
                <c:pt idx="13">
                  <c:v>3070.5226768162261</c:v>
                </c:pt>
                <c:pt idx="14">
                  <c:v>3093.6333330848083</c:v>
                </c:pt>
                <c:pt idx="15">
                  <c:v>3112.3797632095821</c:v>
                </c:pt>
                <c:pt idx="16">
                  <c:v>3126.1923663973575</c:v>
                </c:pt>
                <c:pt idx="17">
                  <c:v>3134.6514536897889</c:v>
                </c:pt>
                <c:pt idx="18">
                  <c:v>3137.5</c:v>
                </c:pt>
                <c:pt idx="19">
                  <c:v>3134.6514536897889</c:v>
                </c:pt>
                <c:pt idx="20">
                  <c:v>3126.1923663973575</c:v>
                </c:pt>
                <c:pt idx="21">
                  <c:v>3112.3797632095821</c:v>
                </c:pt>
                <c:pt idx="22">
                  <c:v>3093.6333330848083</c:v>
                </c:pt>
                <c:pt idx="23">
                  <c:v>3070.5226768162261</c:v>
                </c:pt>
                <c:pt idx="24">
                  <c:v>3043.75</c:v>
                </c:pt>
                <c:pt idx="25">
                  <c:v>3014.1287768735629</c:v>
                </c:pt>
                <c:pt idx="26">
                  <c:v>2982.5590333125492</c:v>
                </c:pt>
                <c:pt idx="27">
                  <c:v>2950</c:v>
                </c:pt>
                <c:pt idx="28">
                  <c:v>2917.4409666874508</c:v>
                </c:pt>
                <c:pt idx="29">
                  <c:v>2885.8712231264371</c:v>
                </c:pt>
                <c:pt idx="30">
                  <c:v>2856.25</c:v>
                </c:pt>
                <c:pt idx="31">
                  <c:v>2829.4773231837739</c:v>
                </c:pt>
                <c:pt idx="32">
                  <c:v>2806.3666669151917</c:v>
                </c:pt>
                <c:pt idx="33">
                  <c:v>2787.6202367904179</c:v>
                </c:pt>
                <c:pt idx="34">
                  <c:v>2773.8076336026425</c:v>
                </c:pt>
                <c:pt idx="35">
                  <c:v>2765.3485463102111</c:v>
                </c:pt>
                <c:pt idx="36">
                  <c:v>2762.5</c:v>
                </c:pt>
              </c:numCache>
            </c:numRef>
          </c:yVal>
          <c:smooth val="0"/>
        </c:ser>
        <c:ser>
          <c:idx val="10"/>
          <c:order val="10"/>
          <c:tx>
            <c:v>Centre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[1]Graf!$K$140:$O$140</c:f>
              <c:numCache>
                <c:formatCode>General</c:formatCode>
                <c:ptCount val="5"/>
                <c:pt idx="0">
                  <c:v>-50</c:v>
                </c:pt>
                <c:pt idx="1">
                  <c:v>2050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[1]Graf!$K$141:$O$141</c:f>
              <c:numCache>
                <c:formatCode>General</c:formatCode>
                <c:ptCount val="5"/>
                <c:pt idx="0">
                  <c:v>1650</c:v>
                </c:pt>
                <c:pt idx="1">
                  <c:v>1650</c:v>
                </c:pt>
                <c:pt idx="3">
                  <c:v>-50</c:v>
                </c:pt>
                <c:pt idx="4">
                  <c:v>3350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00928"/>
        <c:axId val="1149790048"/>
      </c:scatterChart>
      <c:valAx>
        <c:axId val="1149800928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1149790048"/>
        <c:crosses val="autoZero"/>
        <c:crossBetween val="midCat"/>
        <c:majorUnit val="100"/>
      </c:valAx>
      <c:valAx>
        <c:axId val="1149790048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1149800928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940069738236923E-2"/>
          <c:y val="3.2680764146903865E-2"/>
          <c:w val="0.96594355665008302"/>
          <c:h val="0.94120600743083127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[1]Graf!$C$153:$G$153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</c:numCache>
            </c:numRef>
          </c:xVal>
          <c:yVal>
            <c:numRef>
              <c:f>[1]Graf!$C$154:$G$154</c:f>
              <c:numCache>
                <c:formatCode>General</c:formatCode>
                <c:ptCount val="5"/>
                <c:pt idx="0">
                  <c:v>390</c:v>
                </c:pt>
                <c:pt idx="1">
                  <c:v>1040</c:v>
                </c:pt>
                <c:pt idx="2">
                  <c:v>1040</c:v>
                </c:pt>
                <c:pt idx="3">
                  <c:v>390</c:v>
                </c:pt>
                <c:pt idx="4">
                  <c:v>390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[1]Graf!$G$159:$J$159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1950</c:v>
                </c:pt>
                <c:pt idx="3">
                  <c:v>1950</c:v>
                </c:pt>
              </c:numCache>
            </c:numRef>
          </c:xVal>
          <c:yVal>
            <c:numRef>
              <c:f>[1]Graf!$G$160:$J$160</c:f>
              <c:numCache>
                <c:formatCode>General</c:formatCode>
                <c:ptCount val="4"/>
                <c:pt idx="0">
                  <c:v>620</c:v>
                </c:pt>
                <c:pt idx="1">
                  <c:v>490</c:v>
                </c:pt>
                <c:pt idx="2">
                  <c:v>490</c:v>
                </c:pt>
                <c:pt idx="3">
                  <c:v>620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[1]Graf!$C$159:$D$159</c:f>
              <c:numCache>
                <c:formatCode>General</c:formatCode>
                <c:ptCount val="2"/>
                <c:pt idx="0">
                  <c:v>50</c:v>
                </c:pt>
                <c:pt idx="1">
                  <c:v>1950</c:v>
                </c:pt>
              </c:numCache>
            </c:numRef>
          </c:xVal>
          <c:yVal>
            <c:numRef>
              <c:f>[1]Graf!$C$160:$D$160</c:f>
              <c:numCache>
                <c:formatCode>General</c:formatCode>
                <c:ptCount val="2"/>
                <c:pt idx="0">
                  <c:v>965</c:v>
                </c:pt>
                <c:pt idx="1">
                  <c:v>965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[1]Graf!$C$155:$M$155</c:f>
              <c:numCache>
                <c:formatCode>General</c:formatCode>
                <c:ptCount val="11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1462.5</c:v>
                </c:pt>
                <c:pt idx="7">
                  <c:v>1462.5</c:v>
                </c:pt>
                <c:pt idx="9">
                  <c:v>1837.5</c:v>
                </c:pt>
                <c:pt idx="10">
                  <c:v>1837.5</c:v>
                </c:pt>
              </c:numCache>
            </c:numRef>
          </c:xVal>
          <c:yVal>
            <c:numRef>
              <c:f>[1]Graf!$C$156:$M$156</c:f>
              <c:numCache>
                <c:formatCode>General</c:formatCode>
                <c:ptCount val="11"/>
                <c:pt idx="0">
                  <c:v>0</c:v>
                </c:pt>
                <c:pt idx="1">
                  <c:v>390</c:v>
                </c:pt>
                <c:pt idx="3">
                  <c:v>0</c:v>
                </c:pt>
                <c:pt idx="4">
                  <c:v>390</c:v>
                </c:pt>
                <c:pt idx="6">
                  <c:v>0</c:v>
                </c:pt>
                <c:pt idx="7">
                  <c:v>390</c:v>
                </c:pt>
                <c:pt idx="9">
                  <c:v>0</c:v>
                </c:pt>
                <c:pt idx="10">
                  <c:v>390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[1]Graf!$O$155:$S$155</c:f>
              <c:numCache>
                <c:formatCode>General</c:formatCode>
                <c:ptCount val="5"/>
                <c:pt idx="0">
                  <c:v>825</c:v>
                </c:pt>
                <c:pt idx="1">
                  <c:v>825</c:v>
                </c:pt>
                <c:pt idx="3">
                  <c:v>1175</c:v>
                </c:pt>
                <c:pt idx="4">
                  <c:v>1175</c:v>
                </c:pt>
              </c:numCache>
            </c:numRef>
          </c:xVal>
          <c:yVal>
            <c:numRef>
              <c:f>[1]Graf!$O$156:$S$156</c:f>
              <c:numCache>
                <c:formatCode>General</c:formatCode>
                <c:ptCount val="5"/>
                <c:pt idx="0">
                  <c:v>1040</c:v>
                </c:pt>
                <c:pt idx="1">
                  <c:v>1527.5</c:v>
                </c:pt>
                <c:pt idx="3">
                  <c:v>1040</c:v>
                </c:pt>
                <c:pt idx="4">
                  <c:v>1527.5</c:v>
                </c:pt>
              </c:numCache>
            </c:numRef>
          </c:yVal>
          <c:smooth val="0"/>
        </c:ser>
        <c:ser>
          <c:idx val="6"/>
          <c:order val="5"/>
          <c:tx>
            <c:v>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[1]Graf!$C$161:$BI$161</c:f>
              <c:numCache>
                <c:formatCode>General</c:formatCode>
                <c:ptCount val="59"/>
                <c:pt idx="0">
                  <c:v>125</c:v>
                </c:pt>
                <c:pt idx="1">
                  <c:v>125</c:v>
                </c:pt>
                <c:pt idx="3">
                  <c:v>475</c:v>
                </c:pt>
                <c:pt idx="4">
                  <c:v>475</c:v>
                </c:pt>
                <c:pt idx="6">
                  <c:v>825</c:v>
                </c:pt>
                <c:pt idx="7">
                  <c:v>825</c:v>
                </c:pt>
                <c:pt idx="9">
                  <c:v>1175</c:v>
                </c:pt>
                <c:pt idx="10">
                  <c:v>1175</c:v>
                </c:pt>
                <c:pt idx="12">
                  <c:v>1525</c:v>
                </c:pt>
                <c:pt idx="13">
                  <c:v>1525</c:v>
                </c:pt>
                <c:pt idx="15">
                  <c:v>1875</c:v>
                </c:pt>
                <c:pt idx="16">
                  <c:v>1875</c:v>
                </c:pt>
                <c:pt idx="18">
                  <c:v>1875</c:v>
                </c:pt>
                <c:pt idx="19">
                  <c:v>1875</c:v>
                </c:pt>
                <c:pt idx="21">
                  <c:v>1875</c:v>
                </c:pt>
                <c:pt idx="22">
                  <c:v>1875</c:v>
                </c:pt>
                <c:pt idx="24">
                  <c:v>1875</c:v>
                </c:pt>
                <c:pt idx="25">
                  <c:v>1875</c:v>
                </c:pt>
                <c:pt idx="27">
                  <c:v>1875</c:v>
                </c:pt>
                <c:pt idx="28">
                  <c:v>1875</c:v>
                </c:pt>
                <c:pt idx="30">
                  <c:v>1875</c:v>
                </c:pt>
                <c:pt idx="31">
                  <c:v>1875</c:v>
                </c:pt>
                <c:pt idx="33">
                  <c:v>1875</c:v>
                </c:pt>
                <c:pt idx="34">
                  <c:v>1875</c:v>
                </c:pt>
                <c:pt idx="36">
                  <c:v>1875</c:v>
                </c:pt>
                <c:pt idx="37">
                  <c:v>1875</c:v>
                </c:pt>
                <c:pt idx="39">
                  <c:v>1875</c:v>
                </c:pt>
                <c:pt idx="40">
                  <c:v>1875</c:v>
                </c:pt>
                <c:pt idx="42">
                  <c:v>1875</c:v>
                </c:pt>
                <c:pt idx="43">
                  <c:v>1875</c:v>
                </c:pt>
                <c:pt idx="45">
                  <c:v>1875</c:v>
                </c:pt>
                <c:pt idx="46">
                  <c:v>1875</c:v>
                </c:pt>
                <c:pt idx="48">
                  <c:v>1875</c:v>
                </c:pt>
                <c:pt idx="49">
                  <c:v>1875</c:v>
                </c:pt>
                <c:pt idx="51">
                  <c:v>1875</c:v>
                </c:pt>
                <c:pt idx="52">
                  <c:v>1875</c:v>
                </c:pt>
                <c:pt idx="54">
                  <c:v>1875</c:v>
                </c:pt>
                <c:pt idx="55">
                  <c:v>1875</c:v>
                </c:pt>
                <c:pt idx="57">
                  <c:v>1875</c:v>
                </c:pt>
                <c:pt idx="58">
                  <c:v>1875</c:v>
                </c:pt>
              </c:numCache>
            </c:numRef>
          </c:xVal>
          <c:yVal>
            <c:numRef>
              <c:f>[1]Graf!$C$162:$BI$162</c:f>
              <c:numCache>
                <c:formatCode>General</c:formatCode>
                <c:ptCount val="59"/>
                <c:pt idx="0">
                  <c:v>477.5</c:v>
                </c:pt>
                <c:pt idx="1">
                  <c:v>977.5</c:v>
                </c:pt>
                <c:pt idx="3">
                  <c:v>477.5</c:v>
                </c:pt>
                <c:pt idx="4">
                  <c:v>977.5</c:v>
                </c:pt>
                <c:pt idx="6">
                  <c:v>477.5</c:v>
                </c:pt>
                <c:pt idx="7">
                  <c:v>977.5</c:v>
                </c:pt>
                <c:pt idx="9">
                  <c:v>477.5</c:v>
                </c:pt>
                <c:pt idx="10">
                  <c:v>977.5</c:v>
                </c:pt>
                <c:pt idx="12">
                  <c:v>477.5</c:v>
                </c:pt>
                <c:pt idx="13">
                  <c:v>977.5</c:v>
                </c:pt>
                <c:pt idx="15">
                  <c:v>477.5</c:v>
                </c:pt>
                <c:pt idx="16">
                  <c:v>977.5</c:v>
                </c:pt>
                <c:pt idx="18">
                  <c:v>477.5</c:v>
                </c:pt>
                <c:pt idx="19">
                  <c:v>977.5</c:v>
                </c:pt>
                <c:pt idx="21">
                  <c:v>477.5</c:v>
                </c:pt>
                <c:pt idx="22">
                  <c:v>977.5</c:v>
                </c:pt>
                <c:pt idx="24">
                  <c:v>477.5</c:v>
                </c:pt>
                <c:pt idx="25">
                  <c:v>977.5</c:v>
                </c:pt>
                <c:pt idx="27">
                  <c:v>477.5</c:v>
                </c:pt>
                <c:pt idx="28">
                  <c:v>977.5</c:v>
                </c:pt>
                <c:pt idx="30">
                  <c:v>477.5</c:v>
                </c:pt>
                <c:pt idx="31">
                  <c:v>977.5</c:v>
                </c:pt>
                <c:pt idx="33">
                  <c:v>477.5</c:v>
                </c:pt>
                <c:pt idx="34">
                  <c:v>977.5</c:v>
                </c:pt>
                <c:pt idx="36">
                  <c:v>477.5</c:v>
                </c:pt>
                <c:pt idx="37">
                  <c:v>977.5</c:v>
                </c:pt>
                <c:pt idx="39">
                  <c:v>477.5</c:v>
                </c:pt>
                <c:pt idx="40">
                  <c:v>977.5</c:v>
                </c:pt>
                <c:pt idx="42">
                  <c:v>477.5</c:v>
                </c:pt>
                <c:pt idx="43">
                  <c:v>977.5</c:v>
                </c:pt>
                <c:pt idx="45">
                  <c:v>477.5</c:v>
                </c:pt>
                <c:pt idx="46">
                  <c:v>977.5</c:v>
                </c:pt>
                <c:pt idx="48">
                  <c:v>477.5</c:v>
                </c:pt>
                <c:pt idx="49">
                  <c:v>977.5</c:v>
                </c:pt>
                <c:pt idx="51">
                  <c:v>477.5</c:v>
                </c:pt>
                <c:pt idx="52">
                  <c:v>977.5</c:v>
                </c:pt>
                <c:pt idx="54">
                  <c:v>477.5</c:v>
                </c:pt>
                <c:pt idx="55">
                  <c:v>977.5</c:v>
                </c:pt>
                <c:pt idx="57">
                  <c:v>477.5</c:v>
                </c:pt>
                <c:pt idx="58">
                  <c:v>977.5</c:v>
                </c:pt>
              </c:numCache>
            </c:numRef>
          </c:yVal>
          <c:smooth val="0"/>
        </c:ser>
        <c:ser>
          <c:idx val="7"/>
          <c:order val="6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[1]Graf!$C$157:$K$157</c:f>
              <c:numCache>
                <c:formatCode>General</c:formatCode>
                <c:ptCount val="9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1462.5</c:v>
                </c:pt>
                <c:pt idx="6">
                  <c:v>1462.5</c:v>
                </c:pt>
                <c:pt idx="7">
                  <c:v>1837.5</c:v>
                </c:pt>
                <c:pt idx="8">
                  <c:v>1837.5</c:v>
                </c:pt>
              </c:numCache>
            </c:numRef>
          </c:xVal>
          <c:yVal>
            <c:numRef>
              <c:f>[1]Graf!$C$158:$K$158</c:f>
              <c:numCache>
                <c:formatCode>General</c:formatCode>
                <c:ptCount val="9"/>
                <c:pt idx="0">
                  <c:v>390</c:v>
                </c:pt>
                <c:pt idx="1">
                  <c:v>440</c:v>
                </c:pt>
                <c:pt idx="2">
                  <c:v>440</c:v>
                </c:pt>
                <c:pt idx="3">
                  <c:v>390</c:v>
                </c:pt>
                <c:pt idx="5">
                  <c:v>390</c:v>
                </c:pt>
                <c:pt idx="6">
                  <c:v>440</c:v>
                </c:pt>
                <c:pt idx="7">
                  <c:v>440</c:v>
                </c:pt>
                <c:pt idx="8">
                  <c:v>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98208"/>
        <c:axId val="1149787872"/>
      </c:scatterChart>
      <c:valAx>
        <c:axId val="1149798208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1149787872"/>
        <c:crosses val="autoZero"/>
        <c:crossBetween val="midCat"/>
        <c:majorUnit val="20"/>
      </c:valAx>
      <c:valAx>
        <c:axId val="1149787872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11497982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438872041604206E-2"/>
          <c:y val="3.2895877240124778E-2"/>
          <c:w val="0.97263326246158222"/>
          <c:h val="0.9408220890675687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[1]Graf!$C$164:$G$164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3300</c:v>
                </c:pt>
                <c:pt idx="3">
                  <c:v>3300</c:v>
                </c:pt>
                <c:pt idx="4">
                  <c:v>0</c:v>
                </c:pt>
              </c:numCache>
            </c:numRef>
          </c:xVal>
          <c:yVal>
            <c:numRef>
              <c:f>[1]Graf!$C$165:$G$165</c:f>
              <c:numCache>
                <c:formatCode>General</c:formatCode>
                <c:ptCount val="5"/>
                <c:pt idx="0">
                  <c:v>390</c:v>
                </c:pt>
                <c:pt idx="1">
                  <c:v>1040</c:v>
                </c:pt>
                <c:pt idx="2">
                  <c:v>1040</c:v>
                </c:pt>
                <c:pt idx="3">
                  <c:v>390</c:v>
                </c:pt>
                <c:pt idx="4">
                  <c:v>390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[1]Graf!$G$170:$J$170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3250</c:v>
                </c:pt>
                <c:pt idx="3">
                  <c:v>3250</c:v>
                </c:pt>
              </c:numCache>
            </c:numRef>
          </c:xVal>
          <c:yVal>
            <c:numRef>
              <c:f>[1]Graf!$G$171:$J$171</c:f>
              <c:numCache>
                <c:formatCode>General</c:formatCode>
                <c:ptCount val="4"/>
                <c:pt idx="0">
                  <c:v>600.5</c:v>
                </c:pt>
                <c:pt idx="1">
                  <c:v>465</c:v>
                </c:pt>
                <c:pt idx="2">
                  <c:v>465</c:v>
                </c:pt>
                <c:pt idx="3">
                  <c:v>600.5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[1]Graf!$C$170:$D$170</c:f>
              <c:numCache>
                <c:formatCode>General</c:formatCode>
                <c:ptCount val="2"/>
                <c:pt idx="0">
                  <c:v>50</c:v>
                </c:pt>
                <c:pt idx="1">
                  <c:v>3250</c:v>
                </c:pt>
              </c:numCache>
            </c:numRef>
          </c:xVal>
          <c:yVal>
            <c:numRef>
              <c:f>[1]Graf!$C$171:$D$171</c:f>
              <c:numCache>
                <c:formatCode>General</c:formatCode>
                <c:ptCount val="2"/>
                <c:pt idx="0">
                  <c:v>990</c:v>
                </c:pt>
                <c:pt idx="1">
                  <c:v>990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[1]Graf!$C$166:$S$166</c:f>
              <c:numCache>
                <c:formatCode>General</c:formatCode>
                <c:ptCount val="17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1462.5</c:v>
                </c:pt>
                <c:pt idx="7">
                  <c:v>1462.5</c:v>
                </c:pt>
                <c:pt idx="9">
                  <c:v>1837.5</c:v>
                </c:pt>
                <c:pt idx="10">
                  <c:v>1837.5</c:v>
                </c:pt>
                <c:pt idx="12">
                  <c:v>2762.5</c:v>
                </c:pt>
                <c:pt idx="13">
                  <c:v>2762.5</c:v>
                </c:pt>
                <c:pt idx="15">
                  <c:v>3137.5</c:v>
                </c:pt>
                <c:pt idx="16">
                  <c:v>3137.5</c:v>
                </c:pt>
              </c:numCache>
            </c:numRef>
          </c:xVal>
          <c:yVal>
            <c:numRef>
              <c:f>[1]Graf!$C$167:$S$167</c:f>
              <c:numCache>
                <c:formatCode>General</c:formatCode>
                <c:ptCount val="17"/>
                <c:pt idx="0">
                  <c:v>0</c:v>
                </c:pt>
                <c:pt idx="1">
                  <c:v>390</c:v>
                </c:pt>
                <c:pt idx="3">
                  <c:v>0</c:v>
                </c:pt>
                <c:pt idx="4">
                  <c:v>390</c:v>
                </c:pt>
                <c:pt idx="6">
                  <c:v>0</c:v>
                </c:pt>
                <c:pt idx="7">
                  <c:v>390</c:v>
                </c:pt>
                <c:pt idx="9">
                  <c:v>0</c:v>
                </c:pt>
                <c:pt idx="10">
                  <c:v>390</c:v>
                </c:pt>
                <c:pt idx="12">
                  <c:v>0</c:v>
                </c:pt>
                <c:pt idx="13">
                  <c:v>390</c:v>
                </c:pt>
                <c:pt idx="15">
                  <c:v>0</c:v>
                </c:pt>
                <c:pt idx="16">
                  <c:v>390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[1]Graf!$U$166:$Y$166</c:f>
              <c:numCache>
                <c:formatCode>General</c:formatCode>
                <c:ptCount val="5"/>
                <c:pt idx="0">
                  <c:v>1400</c:v>
                </c:pt>
                <c:pt idx="1">
                  <c:v>1400</c:v>
                </c:pt>
                <c:pt idx="3">
                  <c:v>1900</c:v>
                </c:pt>
                <c:pt idx="4">
                  <c:v>1900</c:v>
                </c:pt>
              </c:numCache>
            </c:numRef>
          </c:xVal>
          <c:yVal>
            <c:numRef>
              <c:f>[1]Graf!$U$167:$Y$167</c:f>
              <c:numCache>
                <c:formatCode>General</c:formatCode>
                <c:ptCount val="5"/>
                <c:pt idx="0">
                  <c:v>1040</c:v>
                </c:pt>
                <c:pt idx="1">
                  <c:v>1527.5</c:v>
                </c:pt>
                <c:pt idx="3">
                  <c:v>1040</c:v>
                </c:pt>
                <c:pt idx="4">
                  <c:v>1527.5</c:v>
                </c:pt>
              </c:numCache>
            </c:numRef>
          </c:yVal>
          <c:smooth val="0"/>
        </c:ser>
        <c:ser>
          <c:idx val="6"/>
          <c:order val="5"/>
          <c:tx>
            <c:v>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[1]Graf!$C$172:$BI$172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3">
                  <c:v>338.46153846153845</c:v>
                </c:pt>
                <c:pt idx="4">
                  <c:v>338.46153846153845</c:v>
                </c:pt>
                <c:pt idx="6">
                  <c:v>576.92307692307691</c:v>
                </c:pt>
                <c:pt idx="7">
                  <c:v>576.92307692307691</c:v>
                </c:pt>
                <c:pt idx="9">
                  <c:v>815.38461538461536</c:v>
                </c:pt>
                <c:pt idx="10">
                  <c:v>815.38461538461536</c:v>
                </c:pt>
                <c:pt idx="12">
                  <c:v>1053.8461538461538</c:v>
                </c:pt>
                <c:pt idx="13">
                  <c:v>1053.8461538461538</c:v>
                </c:pt>
                <c:pt idx="15">
                  <c:v>1292.3076923076924</c:v>
                </c:pt>
                <c:pt idx="16">
                  <c:v>1292.3076923076924</c:v>
                </c:pt>
                <c:pt idx="18">
                  <c:v>1530.7692307692309</c:v>
                </c:pt>
                <c:pt idx="19">
                  <c:v>1530.7692307692309</c:v>
                </c:pt>
                <c:pt idx="21">
                  <c:v>1769.2307692307695</c:v>
                </c:pt>
                <c:pt idx="22">
                  <c:v>1769.2307692307695</c:v>
                </c:pt>
                <c:pt idx="24">
                  <c:v>2007.6923076923081</c:v>
                </c:pt>
                <c:pt idx="25">
                  <c:v>2007.6923076923081</c:v>
                </c:pt>
                <c:pt idx="27">
                  <c:v>2246.1538461538466</c:v>
                </c:pt>
                <c:pt idx="28">
                  <c:v>2246.1538461538466</c:v>
                </c:pt>
                <c:pt idx="30">
                  <c:v>2484.6153846153852</c:v>
                </c:pt>
                <c:pt idx="31">
                  <c:v>2484.6153846153852</c:v>
                </c:pt>
                <c:pt idx="33">
                  <c:v>2723.0769230769238</c:v>
                </c:pt>
                <c:pt idx="34">
                  <c:v>2723.0769230769238</c:v>
                </c:pt>
                <c:pt idx="36">
                  <c:v>2961.5384615384623</c:v>
                </c:pt>
                <c:pt idx="37">
                  <c:v>2961.5384615384623</c:v>
                </c:pt>
                <c:pt idx="39">
                  <c:v>3200</c:v>
                </c:pt>
                <c:pt idx="40">
                  <c:v>3200</c:v>
                </c:pt>
                <c:pt idx="42">
                  <c:v>3200</c:v>
                </c:pt>
                <c:pt idx="43">
                  <c:v>3200</c:v>
                </c:pt>
                <c:pt idx="45">
                  <c:v>3200</c:v>
                </c:pt>
                <c:pt idx="46">
                  <c:v>3200</c:v>
                </c:pt>
                <c:pt idx="48">
                  <c:v>3200</c:v>
                </c:pt>
                <c:pt idx="49">
                  <c:v>3200</c:v>
                </c:pt>
                <c:pt idx="51">
                  <c:v>3200</c:v>
                </c:pt>
                <c:pt idx="52">
                  <c:v>3200</c:v>
                </c:pt>
                <c:pt idx="54">
                  <c:v>3200</c:v>
                </c:pt>
                <c:pt idx="55">
                  <c:v>3200</c:v>
                </c:pt>
                <c:pt idx="57">
                  <c:v>3200</c:v>
                </c:pt>
                <c:pt idx="58">
                  <c:v>3200</c:v>
                </c:pt>
              </c:numCache>
            </c:numRef>
          </c:xVal>
          <c:yVal>
            <c:numRef>
              <c:f>[1]Graf!$C$162:$BI$162</c:f>
              <c:numCache>
                <c:formatCode>General</c:formatCode>
                <c:ptCount val="59"/>
                <c:pt idx="0">
                  <c:v>477.5</c:v>
                </c:pt>
                <c:pt idx="1">
                  <c:v>977.5</c:v>
                </c:pt>
                <c:pt idx="3">
                  <c:v>477.5</c:v>
                </c:pt>
                <c:pt idx="4">
                  <c:v>977.5</c:v>
                </c:pt>
                <c:pt idx="6">
                  <c:v>477.5</c:v>
                </c:pt>
                <c:pt idx="7">
                  <c:v>977.5</c:v>
                </c:pt>
                <c:pt idx="9">
                  <c:v>477.5</c:v>
                </c:pt>
                <c:pt idx="10">
                  <c:v>977.5</c:v>
                </c:pt>
                <c:pt idx="12">
                  <c:v>477.5</c:v>
                </c:pt>
                <c:pt idx="13">
                  <c:v>977.5</c:v>
                </c:pt>
                <c:pt idx="15">
                  <c:v>477.5</c:v>
                </c:pt>
                <c:pt idx="16">
                  <c:v>977.5</c:v>
                </c:pt>
                <c:pt idx="18">
                  <c:v>477.5</c:v>
                </c:pt>
                <c:pt idx="19">
                  <c:v>977.5</c:v>
                </c:pt>
                <c:pt idx="21">
                  <c:v>477.5</c:v>
                </c:pt>
                <c:pt idx="22">
                  <c:v>977.5</c:v>
                </c:pt>
                <c:pt idx="24">
                  <c:v>477.5</c:v>
                </c:pt>
                <c:pt idx="25">
                  <c:v>977.5</c:v>
                </c:pt>
                <c:pt idx="27">
                  <c:v>477.5</c:v>
                </c:pt>
                <c:pt idx="28">
                  <c:v>977.5</c:v>
                </c:pt>
                <c:pt idx="30">
                  <c:v>477.5</c:v>
                </c:pt>
                <c:pt idx="31">
                  <c:v>977.5</c:v>
                </c:pt>
                <c:pt idx="33">
                  <c:v>477.5</c:v>
                </c:pt>
                <c:pt idx="34">
                  <c:v>977.5</c:v>
                </c:pt>
                <c:pt idx="36">
                  <c:v>477.5</c:v>
                </c:pt>
                <c:pt idx="37">
                  <c:v>977.5</c:v>
                </c:pt>
                <c:pt idx="39">
                  <c:v>477.5</c:v>
                </c:pt>
                <c:pt idx="40">
                  <c:v>977.5</c:v>
                </c:pt>
                <c:pt idx="42">
                  <c:v>477.5</c:v>
                </c:pt>
                <c:pt idx="43">
                  <c:v>977.5</c:v>
                </c:pt>
                <c:pt idx="45">
                  <c:v>477.5</c:v>
                </c:pt>
                <c:pt idx="46">
                  <c:v>977.5</c:v>
                </c:pt>
                <c:pt idx="48">
                  <c:v>477.5</c:v>
                </c:pt>
                <c:pt idx="49">
                  <c:v>977.5</c:v>
                </c:pt>
                <c:pt idx="51">
                  <c:v>477.5</c:v>
                </c:pt>
                <c:pt idx="52">
                  <c:v>977.5</c:v>
                </c:pt>
                <c:pt idx="54">
                  <c:v>477.5</c:v>
                </c:pt>
                <c:pt idx="55">
                  <c:v>977.5</c:v>
                </c:pt>
                <c:pt idx="57">
                  <c:v>477.5</c:v>
                </c:pt>
                <c:pt idx="58">
                  <c:v>977.5</c:v>
                </c:pt>
              </c:numCache>
            </c:numRef>
          </c:yVal>
          <c:smooth val="0"/>
        </c:ser>
        <c:ser>
          <c:idx val="7"/>
          <c:order val="6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[1]Graf!$C$168:$P$168</c:f>
              <c:numCache>
                <c:formatCode>General</c:formatCode>
                <c:ptCount val="14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1462.5</c:v>
                </c:pt>
                <c:pt idx="6">
                  <c:v>1462.5</c:v>
                </c:pt>
                <c:pt idx="7">
                  <c:v>1837.5</c:v>
                </c:pt>
                <c:pt idx="8">
                  <c:v>1837.5</c:v>
                </c:pt>
                <c:pt idx="10">
                  <c:v>2762.5</c:v>
                </c:pt>
                <c:pt idx="11">
                  <c:v>2762.5</c:v>
                </c:pt>
                <c:pt idx="12">
                  <c:v>3137.5</c:v>
                </c:pt>
                <c:pt idx="13">
                  <c:v>3137.5</c:v>
                </c:pt>
              </c:numCache>
            </c:numRef>
          </c:xVal>
          <c:yVal>
            <c:numRef>
              <c:f>[1]Graf!$C$169:$P$169</c:f>
              <c:numCache>
                <c:formatCode>General</c:formatCode>
                <c:ptCount val="14"/>
                <c:pt idx="0">
                  <c:v>390</c:v>
                </c:pt>
                <c:pt idx="1">
                  <c:v>440</c:v>
                </c:pt>
                <c:pt idx="2">
                  <c:v>440</c:v>
                </c:pt>
                <c:pt idx="3">
                  <c:v>390</c:v>
                </c:pt>
                <c:pt idx="5">
                  <c:v>390</c:v>
                </c:pt>
                <c:pt idx="6">
                  <c:v>440</c:v>
                </c:pt>
                <c:pt idx="7">
                  <c:v>440</c:v>
                </c:pt>
                <c:pt idx="8">
                  <c:v>390</c:v>
                </c:pt>
                <c:pt idx="10">
                  <c:v>390</c:v>
                </c:pt>
                <c:pt idx="11">
                  <c:v>440</c:v>
                </c:pt>
                <c:pt idx="12">
                  <c:v>440</c:v>
                </c:pt>
                <c:pt idx="13">
                  <c:v>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02560"/>
        <c:axId val="1149792224"/>
      </c:scatterChart>
      <c:valAx>
        <c:axId val="1149802560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1149792224"/>
        <c:crosses val="autoZero"/>
        <c:crossBetween val="midCat"/>
        <c:majorUnit val="20"/>
      </c:valAx>
      <c:valAx>
        <c:axId val="1149792224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114980256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10</xdr:row>
      <xdr:rowOff>47625</xdr:rowOff>
    </xdr:from>
    <xdr:to>
      <xdr:col>10</xdr:col>
      <xdr:colOff>209550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10</xdr:row>
          <xdr:rowOff>76200</xdr:rowOff>
        </xdr:from>
        <xdr:to>
          <xdr:col>11</xdr:col>
          <xdr:colOff>352425</xdr:colOff>
          <xdr:row>23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28</xdr:row>
          <xdr:rowOff>57150</xdr:rowOff>
        </xdr:from>
        <xdr:to>
          <xdr:col>11</xdr:col>
          <xdr:colOff>1543050</xdr:colOff>
          <xdr:row>31</xdr:row>
          <xdr:rowOff>219075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FFCC99" mc:Ignorable="a14" a14:legacySpreadsheetColorIndex="4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666750</xdr:colOff>
      <xdr:row>36</xdr:row>
      <xdr:rowOff>114300</xdr:rowOff>
    </xdr:from>
    <xdr:to>
      <xdr:col>11</xdr:col>
      <xdr:colOff>76200</xdr:colOff>
      <xdr:row>44</xdr:row>
      <xdr:rowOff>47625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209550</xdr:colOff>
      <xdr:row>44</xdr:row>
      <xdr:rowOff>114300</xdr:rowOff>
    </xdr:from>
    <xdr:to>
      <xdr:col>12</xdr:col>
      <xdr:colOff>28575</xdr:colOff>
      <xdr:row>52</xdr:row>
      <xdr:rowOff>38100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17</xdr:row>
          <xdr:rowOff>57150</xdr:rowOff>
        </xdr:from>
        <xdr:to>
          <xdr:col>11</xdr:col>
          <xdr:colOff>1581150</xdr:colOff>
          <xdr:row>19</xdr:row>
          <xdr:rowOff>47625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17</xdr:row>
          <xdr:rowOff>57150</xdr:rowOff>
        </xdr:from>
        <xdr:to>
          <xdr:col>11</xdr:col>
          <xdr:colOff>2419350</xdr:colOff>
          <xdr:row>19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New%20folder%20(3)/Design%20of%20Pilecap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UBLE"/>
      <sheetName val="3CAP"/>
      <sheetName val="4CAP"/>
      <sheetName val="5CAP"/>
      <sheetName val="6CAP"/>
      <sheetName val="SCHEDULE"/>
      <sheetName val="DRAWING"/>
      <sheetName val="Graf"/>
      <sheetName val="NOTES"/>
      <sheetName val="Design of Pilecap(1)"/>
    </sheetNames>
    <definedNames>
      <definedName name="Details6"/>
      <definedName name="Summary6"/>
    </definedNames>
    <sheetDataSet>
      <sheetData sheetId="0">
        <row r="1">
          <cell r="M1" t="str">
            <v xml:space="preserve"> T</v>
          </cell>
          <cell r="O1">
            <v>9.9999999999999995E-7</v>
          </cell>
          <cell r="P1">
            <v>8</v>
          </cell>
          <cell r="Q1">
            <v>10</v>
          </cell>
        </row>
        <row r="2">
          <cell r="O2">
            <v>78.539816339744831</v>
          </cell>
          <cell r="P2">
            <v>10</v>
          </cell>
          <cell r="Q2">
            <v>12</v>
          </cell>
        </row>
        <row r="3">
          <cell r="O3">
            <v>113.09733552923255</v>
          </cell>
          <cell r="P3">
            <v>12</v>
          </cell>
          <cell r="Q3">
            <v>16</v>
          </cell>
        </row>
        <row r="4">
          <cell r="O4">
            <v>201.06192982974676</v>
          </cell>
          <cell r="P4">
            <v>16</v>
          </cell>
          <cell r="Q4">
            <v>20</v>
          </cell>
        </row>
        <row r="5">
          <cell r="N5">
            <v>4.7328638264796927</v>
          </cell>
          <cell r="O5">
            <v>314.15926535897933</v>
          </cell>
          <cell r="P5">
            <v>20</v>
          </cell>
          <cell r="Q5">
            <v>25</v>
          </cell>
        </row>
        <row r="6">
          <cell r="I6" t="str">
            <v>-</v>
          </cell>
          <cell r="O6">
            <v>490.87385212340519</v>
          </cell>
          <cell r="P6">
            <v>25</v>
          </cell>
          <cell r="Q6">
            <v>32</v>
          </cell>
        </row>
        <row r="7">
          <cell r="O7">
            <v>804.24771931898704</v>
          </cell>
          <cell r="P7">
            <v>32</v>
          </cell>
          <cell r="Q7">
            <v>40</v>
          </cell>
        </row>
        <row r="8">
          <cell r="D8">
            <v>35</v>
          </cell>
          <cell r="O8">
            <v>1256.6370614359173</v>
          </cell>
          <cell r="P8">
            <v>40</v>
          </cell>
          <cell r="Q8">
            <v>40</v>
          </cell>
        </row>
        <row r="9">
          <cell r="D9">
            <v>460</v>
          </cell>
          <cell r="G9">
            <v>50</v>
          </cell>
          <cell r="J9">
            <v>1.05</v>
          </cell>
        </row>
        <row r="10">
          <cell r="D10">
            <v>200</v>
          </cell>
          <cell r="G10">
            <v>75</v>
          </cell>
          <cell r="J10">
            <v>23.6</v>
          </cell>
        </row>
        <row r="17">
          <cell r="C17">
            <v>375</v>
          </cell>
        </row>
        <row r="58">
          <cell r="J58">
            <v>0.15577500000000002</v>
          </cell>
        </row>
        <row r="59">
          <cell r="J59">
            <v>1.2999999999999999E-3</v>
          </cell>
        </row>
      </sheetData>
      <sheetData sheetId="1"/>
      <sheetData sheetId="2"/>
      <sheetData sheetId="3"/>
      <sheetData sheetId="4"/>
      <sheetData sheetId="5">
        <row r="36">
          <cell r="W36">
            <v>191.19076296882881</v>
          </cell>
        </row>
      </sheetData>
      <sheetData sheetId="6"/>
      <sheetData sheetId="7">
        <row r="140">
          <cell r="C140">
            <v>0</v>
          </cell>
          <cell r="D140">
            <v>0</v>
          </cell>
          <cell r="E140">
            <v>2000</v>
          </cell>
          <cell r="F140">
            <v>2000</v>
          </cell>
          <cell r="G140">
            <v>0</v>
          </cell>
          <cell r="H140">
            <v>3300</v>
          </cell>
          <cell r="K140">
            <v>-50</v>
          </cell>
          <cell r="L140">
            <v>2050</v>
          </cell>
          <cell r="N140">
            <v>1000</v>
          </cell>
          <cell r="O140">
            <v>1000</v>
          </cell>
        </row>
        <row r="141">
          <cell r="C141">
            <v>0</v>
          </cell>
          <cell r="D141">
            <v>3300</v>
          </cell>
          <cell r="E141">
            <v>3300</v>
          </cell>
          <cell r="F141">
            <v>0</v>
          </cell>
          <cell r="G141">
            <v>0</v>
          </cell>
          <cell r="H141">
            <v>2000</v>
          </cell>
          <cell r="K141">
            <v>1650</v>
          </cell>
          <cell r="L141">
            <v>1650</v>
          </cell>
          <cell r="N141">
            <v>-50</v>
          </cell>
          <cell r="O141">
            <v>3350</v>
          </cell>
        </row>
        <row r="142">
          <cell r="C142">
            <v>825</v>
          </cell>
          <cell r="D142">
            <v>825</v>
          </cell>
          <cell r="E142">
            <v>1175</v>
          </cell>
          <cell r="F142">
            <v>1175</v>
          </cell>
          <cell r="G142">
            <v>825</v>
          </cell>
          <cell r="I142">
            <v>860</v>
          </cell>
          <cell r="J142">
            <v>860</v>
          </cell>
          <cell r="L142">
            <v>895</v>
          </cell>
          <cell r="M142">
            <v>895</v>
          </cell>
          <cell r="O142">
            <v>930</v>
          </cell>
          <cell r="P142">
            <v>930</v>
          </cell>
          <cell r="R142">
            <v>965</v>
          </cell>
          <cell r="S142">
            <v>965</v>
          </cell>
          <cell r="U142">
            <v>1000</v>
          </cell>
          <cell r="V142">
            <v>1000</v>
          </cell>
          <cell r="X142">
            <v>1035</v>
          </cell>
          <cell r="Y142">
            <v>1035</v>
          </cell>
          <cell r="AA142">
            <v>1070</v>
          </cell>
          <cell r="AB142">
            <v>1070</v>
          </cell>
          <cell r="AD142">
            <v>1105</v>
          </cell>
          <cell r="AE142">
            <v>1105</v>
          </cell>
          <cell r="AG142">
            <v>1140</v>
          </cell>
          <cell r="AH142">
            <v>1140</v>
          </cell>
        </row>
        <row r="143">
          <cell r="C143">
            <v>1400</v>
          </cell>
          <cell r="D143">
            <v>1900</v>
          </cell>
          <cell r="E143">
            <v>1900</v>
          </cell>
          <cell r="F143">
            <v>1400</v>
          </cell>
          <cell r="G143">
            <v>1400</v>
          </cell>
          <cell r="I143">
            <v>1400</v>
          </cell>
          <cell r="J143">
            <v>1900</v>
          </cell>
          <cell r="L143">
            <v>1400</v>
          </cell>
          <cell r="M143">
            <v>1900</v>
          </cell>
          <cell r="O143">
            <v>1400</v>
          </cell>
          <cell r="P143">
            <v>1900</v>
          </cell>
          <cell r="R143">
            <v>1400</v>
          </cell>
          <cell r="S143">
            <v>1900</v>
          </cell>
          <cell r="U143">
            <v>1400</v>
          </cell>
          <cell r="V143">
            <v>1900</v>
          </cell>
          <cell r="X143">
            <v>1400</v>
          </cell>
          <cell r="Y143">
            <v>1900</v>
          </cell>
          <cell r="AA143">
            <v>1400</v>
          </cell>
          <cell r="AB143">
            <v>1900</v>
          </cell>
          <cell r="AD143">
            <v>1400</v>
          </cell>
          <cell r="AE143">
            <v>1900</v>
          </cell>
          <cell r="AG143">
            <v>1400</v>
          </cell>
          <cell r="AH143">
            <v>1900</v>
          </cell>
        </row>
        <row r="147">
          <cell r="C147">
            <v>350</v>
          </cell>
          <cell r="D147">
            <v>317.44096668745055</v>
          </cell>
          <cell r="E147">
            <v>285.87122312643714</v>
          </cell>
          <cell r="F147">
            <v>256.25</v>
          </cell>
          <cell r="G147">
            <v>229.47732318377388</v>
          </cell>
          <cell r="H147">
            <v>206.36666691519162</v>
          </cell>
          <cell r="I147">
            <v>187.62023679041775</v>
          </cell>
          <cell r="J147">
            <v>173.8076336026422</v>
          </cell>
          <cell r="K147">
            <v>165.34854631021099</v>
          </cell>
          <cell r="L147">
            <v>162.5</v>
          </cell>
          <cell r="M147">
            <v>165.34854631021099</v>
          </cell>
          <cell r="N147">
            <v>173.80763360264217</v>
          </cell>
          <cell r="O147">
            <v>187.62023679041775</v>
          </cell>
          <cell r="P147">
            <v>206.36666691519162</v>
          </cell>
          <cell r="Q147">
            <v>229.47732318377388</v>
          </cell>
          <cell r="R147">
            <v>256.25</v>
          </cell>
          <cell r="S147">
            <v>285.87122312643709</v>
          </cell>
          <cell r="T147">
            <v>317.44096668745055</v>
          </cell>
          <cell r="U147">
            <v>350</v>
          </cell>
          <cell r="V147">
            <v>382.55903331254945</v>
          </cell>
          <cell r="W147">
            <v>414.12877687356291</v>
          </cell>
          <cell r="X147">
            <v>443.75</v>
          </cell>
          <cell r="Y147">
            <v>470.52267681622612</v>
          </cell>
          <cell r="Z147">
            <v>493.63333308480838</v>
          </cell>
          <cell r="AA147">
            <v>512.37976320958228</v>
          </cell>
          <cell r="AB147">
            <v>526.19236639735777</v>
          </cell>
          <cell r="AC147">
            <v>534.65145368978904</v>
          </cell>
          <cell r="AD147">
            <v>537.5</v>
          </cell>
          <cell r="AE147">
            <v>534.65145368978904</v>
          </cell>
          <cell r="AF147">
            <v>526.19236639735777</v>
          </cell>
          <cell r="AG147">
            <v>512.37976320958228</v>
          </cell>
          <cell r="AH147">
            <v>493.63333308480838</v>
          </cell>
          <cell r="AI147">
            <v>470.52267681622612</v>
          </cell>
          <cell r="AJ147">
            <v>443.75</v>
          </cell>
          <cell r="AK147">
            <v>414.12877687356291</v>
          </cell>
          <cell r="AL147">
            <v>382.55903331254945</v>
          </cell>
          <cell r="AM147">
            <v>350</v>
          </cell>
        </row>
        <row r="148">
          <cell r="C148">
            <v>1650</v>
          </cell>
          <cell r="D148">
            <v>1617.4409666874506</v>
          </cell>
          <cell r="E148">
            <v>1585.8712231264371</v>
          </cell>
          <cell r="F148">
            <v>1556.25</v>
          </cell>
          <cell r="G148">
            <v>1529.4773231837739</v>
          </cell>
          <cell r="H148">
            <v>1506.3666669151917</v>
          </cell>
          <cell r="I148">
            <v>1487.6202367904177</v>
          </cell>
          <cell r="J148">
            <v>1473.8076336026422</v>
          </cell>
          <cell r="K148">
            <v>1465.3485463102111</v>
          </cell>
          <cell r="L148">
            <v>1462.5</v>
          </cell>
          <cell r="M148">
            <v>1465.3485463102111</v>
          </cell>
          <cell r="N148">
            <v>1473.8076336026422</v>
          </cell>
          <cell r="O148">
            <v>1487.6202367904177</v>
          </cell>
          <cell r="P148">
            <v>1506.3666669151917</v>
          </cell>
          <cell r="Q148">
            <v>1529.4773231837739</v>
          </cell>
          <cell r="R148">
            <v>1556.25</v>
          </cell>
          <cell r="S148">
            <v>1585.8712231264371</v>
          </cell>
          <cell r="T148">
            <v>1617.4409666874506</v>
          </cell>
          <cell r="U148">
            <v>1650</v>
          </cell>
          <cell r="V148">
            <v>1682.5590333125494</v>
          </cell>
          <cell r="W148">
            <v>1714.1287768735629</v>
          </cell>
          <cell r="X148">
            <v>1743.75</v>
          </cell>
          <cell r="Y148">
            <v>1770.5226768162261</v>
          </cell>
          <cell r="Z148">
            <v>1793.6333330848083</v>
          </cell>
          <cell r="AA148">
            <v>1812.3797632095823</v>
          </cell>
          <cell r="AB148">
            <v>1826.1923663973578</v>
          </cell>
          <cell r="AC148">
            <v>1834.6514536897889</v>
          </cell>
          <cell r="AD148">
            <v>1837.5</v>
          </cell>
          <cell r="AE148">
            <v>1834.6514536897889</v>
          </cell>
          <cell r="AF148">
            <v>1826.1923663973578</v>
          </cell>
          <cell r="AG148">
            <v>1812.3797632095823</v>
          </cell>
          <cell r="AH148">
            <v>1793.6333330848083</v>
          </cell>
          <cell r="AI148">
            <v>1770.5226768162261</v>
          </cell>
          <cell r="AJ148">
            <v>1743.75</v>
          </cell>
          <cell r="AK148">
            <v>1714.1287768735629</v>
          </cell>
          <cell r="AL148">
            <v>1682.5590333125494</v>
          </cell>
          <cell r="AM148">
            <v>1650</v>
          </cell>
        </row>
        <row r="149">
          <cell r="C149">
            <v>162.5</v>
          </cell>
          <cell r="D149">
            <v>165.34854631021099</v>
          </cell>
          <cell r="E149">
            <v>173.80763360264217</v>
          </cell>
          <cell r="F149">
            <v>187.62023679041775</v>
          </cell>
          <cell r="G149">
            <v>206.36666691519159</v>
          </cell>
          <cell r="H149">
            <v>229.47732318377388</v>
          </cell>
          <cell r="I149">
            <v>256.25</v>
          </cell>
          <cell r="J149">
            <v>285.87122312643703</v>
          </cell>
          <cell r="K149">
            <v>317.4409666874505</v>
          </cell>
          <cell r="L149">
            <v>350</v>
          </cell>
          <cell r="M149">
            <v>382.5590333125495</v>
          </cell>
          <cell r="N149">
            <v>414.12877687356286</v>
          </cell>
          <cell r="O149">
            <v>443.75</v>
          </cell>
          <cell r="P149">
            <v>470.52267681622612</v>
          </cell>
          <cell r="Q149">
            <v>493.63333308480838</v>
          </cell>
          <cell r="R149">
            <v>512.37976320958228</v>
          </cell>
          <cell r="S149">
            <v>526.19236639735777</v>
          </cell>
          <cell r="T149">
            <v>534.65145368978904</v>
          </cell>
          <cell r="U149">
            <v>537.5</v>
          </cell>
          <cell r="V149">
            <v>534.65145368978904</v>
          </cell>
          <cell r="W149">
            <v>526.19236639735777</v>
          </cell>
          <cell r="X149">
            <v>512.37976320958228</v>
          </cell>
          <cell r="Y149">
            <v>493.63333308480838</v>
          </cell>
          <cell r="Z149">
            <v>470.52267681622612</v>
          </cell>
          <cell r="AA149">
            <v>443.75</v>
          </cell>
          <cell r="AB149">
            <v>414.12877687356286</v>
          </cell>
          <cell r="AC149">
            <v>382.5590333125495</v>
          </cell>
          <cell r="AD149">
            <v>350</v>
          </cell>
          <cell r="AE149">
            <v>317.4409666874505</v>
          </cell>
          <cell r="AF149">
            <v>285.87122312643714</v>
          </cell>
          <cell r="AG149">
            <v>256.25</v>
          </cell>
          <cell r="AH149">
            <v>229.47732318377388</v>
          </cell>
          <cell r="AI149">
            <v>206.36666691519162</v>
          </cell>
          <cell r="AJ149">
            <v>187.62023679041775</v>
          </cell>
          <cell r="AK149">
            <v>173.8076336026422</v>
          </cell>
          <cell r="AL149">
            <v>165.34854631021099</v>
          </cell>
          <cell r="AM149">
            <v>162.5</v>
          </cell>
        </row>
        <row r="150">
          <cell r="C150">
            <v>1462.5</v>
          </cell>
          <cell r="D150">
            <v>1465.3485463102111</v>
          </cell>
          <cell r="E150">
            <v>1473.8076336026422</v>
          </cell>
          <cell r="F150">
            <v>1487.6202367904177</v>
          </cell>
          <cell r="G150">
            <v>1506.3666669151917</v>
          </cell>
          <cell r="H150">
            <v>1529.4773231837739</v>
          </cell>
          <cell r="I150">
            <v>1556.25</v>
          </cell>
          <cell r="J150">
            <v>1585.8712231264371</v>
          </cell>
          <cell r="K150">
            <v>1617.4409666874506</v>
          </cell>
          <cell r="L150">
            <v>1650</v>
          </cell>
          <cell r="M150">
            <v>1682.5590333125494</v>
          </cell>
          <cell r="N150">
            <v>1714.1287768735629</v>
          </cell>
          <cell r="O150">
            <v>1743.75</v>
          </cell>
          <cell r="P150">
            <v>1770.5226768162261</v>
          </cell>
          <cell r="Q150">
            <v>1793.6333330848083</v>
          </cell>
          <cell r="R150">
            <v>1812.3797632095823</v>
          </cell>
          <cell r="S150">
            <v>1826.1923663973578</v>
          </cell>
          <cell r="T150">
            <v>1834.6514536897889</v>
          </cell>
          <cell r="U150">
            <v>1837.5</v>
          </cell>
          <cell r="V150">
            <v>1834.6514536897889</v>
          </cell>
          <cell r="W150">
            <v>1826.1923663973578</v>
          </cell>
          <cell r="X150">
            <v>1812.3797632095823</v>
          </cell>
          <cell r="Y150">
            <v>1793.6333330848083</v>
          </cell>
          <cell r="Z150">
            <v>1770.5226768162261</v>
          </cell>
          <cell r="AA150">
            <v>1743.75</v>
          </cell>
          <cell r="AB150">
            <v>1714.1287768735629</v>
          </cell>
          <cell r="AC150">
            <v>1682.5590333125494</v>
          </cell>
          <cell r="AD150">
            <v>1650</v>
          </cell>
          <cell r="AE150">
            <v>1617.4409666874506</v>
          </cell>
          <cell r="AF150">
            <v>1585.8712231264371</v>
          </cell>
          <cell r="AG150">
            <v>1556.25</v>
          </cell>
          <cell r="AH150">
            <v>1529.4773231837739</v>
          </cell>
          <cell r="AI150">
            <v>1506.3666669151917</v>
          </cell>
          <cell r="AJ150">
            <v>1487.6202367904177</v>
          </cell>
          <cell r="AK150">
            <v>1473.8076336026422</v>
          </cell>
          <cell r="AL150">
            <v>1465.3485463102111</v>
          </cell>
          <cell r="AM150">
            <v>1462.5</v>
          </cell>
        </row>
        <row r="151">
          <cell r="C151">
            <v>2762.5</v>
          </cell>
          <cell r="D151">
            <v>2765.3485463102111</v>
          </cell>
          <cell r="E151">
            <v>2773.8076336026425</v>
          </cell>
          <cell r="F151">
            <v>2787.6202367904179</v>
          </cell>
          <cell r="G151">
            <v>2806.3666669151917</v>
          </cell>
          <cell r="H151">
            <v>2829.4773231837739</v>
          </cell>
          <cell r="I151">
            <v>2856.25</v>
          </cell>
          <cell r="J151">
            <v>2885.8712231264371</v>
          </cell>
          <cell r="K151">
            <v>2917.4409666874508</v>
          </cell>
          <cell r="L151">
            <v>2950</v>
          </cell>
          <cell r="M151">
            <v>2982.5590333125492</v>
          </cell>
          <cell r="N151">
            <v>3014.1287768735629</v>
          </cell>
          <cell r="O151">
            <v>3043.75</v>
          </cell>
          <cell r="P151">
            <v>3070.5226768162261</v>
          </cell>
          <cell r="Q151">
            <v>3093.6333330848083</v>
          </cell>
          <cell r="R151">
            <v>3112.3797632095821</v>
          </cell>
          <cell r="S151">
            <v>3126.1923663973575</v>
          </cell>
          <cell r="T151">
            <v>3134.6514536897889</v>
          </cell>
          <cell r="U151">
            <v>3137.5</v>
          </cell>
          <cell r="V151">
            <v>3134.6514536897889</v>
          </cell>
          <cell r="W151">
            <v>3126.1923663973575</v>
          </cell>
          <cell r="X151">
            <v>3112.3797632095821</v>
          </cell>
          <cell r="Y151">
            <v>3093.6333330848083</v>
          </cell>
          <cell r="Z151">
            <v>3070.5226768162261</v>
          </cell>
          <cell r="AA151">
            <v>3043.75</v>
          </cell>
          <cell r="AB151">
            <v>3014.1287768735629</v>
          </cell>
          <cell r="AC151">
            <v>2982.5590333125492</v>
          </cell>
          <cell r="AD151">
            <v>2950</v>
          </cell>
          <cell r="AE151">
            <v>2917.4409666874508</v>
          </cell>
          <cell r="AF151">
            <v>2885.8712231264371</v>
          </cell>
          <cell r="AG151">
            <v>2856.25</v>
          </cell>
          <cell r="AH151">
            <v>2829.4773231837739</v>
          </cell>
          <cell r="AI151">
            <v>2806.3666669151917</v>
          </cell>
          <cell r="AJ151">
            <v>2787.6202367904179</v>
          </cell>
          <cell r="AK151">
            <v>2773.8076336026425</v>
          </cell>
          <cell r="AL151">
            <v>2765.3485463102111</v>
          </cell>
          <cell r="AM151">
            <v>2762.5</v>
          </cell>
        </row>
        <row r="153">
          <cell r="C153">
            <v>0</v>
          </cell>
          <cell r="D153">
            <v>0</v>
          </cell>
          <cell r="E153">
            <v>2000</v>
          </cell>
          <cell r="F153">
            <v>2000</v>
          </cell>
          <cell r="G153">
            <v>0</v>
          </cell>
        </row>
        <row r="154">
          <cell r="C154">
            <v>390</v>
          </cell>
          <cell r="D154">
            <v>1040</v>
          </cell>
          <cell r="E154">
            <v>1040</v>
          </cell>
          <cell r="F154">
            <v>390</v>
          </cell>
          <cell r="G154">
            <v>390</v>
          </cell>
        </row>
        <row r="155">
          <cell r="C155">
            <v>162.5</v>
          </cell>
          <cell r="D155">
            <v>162.5</v>
          </cell>
          <cell r="F155">
            <v>537.5</v>
          </cell>
          <cell r="G155">
            <v>537.5</v>
          </cell>
          <cell r="I155">
            <v>1462.5</v>
          </cell>
          <cell r="J155">
            <v>1462.5</v>
          </cell>
          <cell r="L155">
            <v>1837.5</v>
          </cell>
          <cell r="M155">
            <v>1837.5</v>
          </cell>
          <cell r="O155">
            <v>825</v>
          </cell>
          <cell r="P155">
            <v>825</v>
          </cell>
          <cell r="R155">
            <v>1175</v>
          </cell>
          <cell r="S155">
            <v>1175</v>
          </cell>
        </row>
        <row r="156">
          <cell r="C156">
            <v>0</v>
          </cell>
          <cell r="D156">
            <v>390</v>
          </cell>
          <cell r="F156">
            <v>0</v>
          </cell>
          <cell r="G156">
            <v>390</v>
          </cell>
          <cell r="I156">
            <v>0</v>
          </cell>
          <cell r="J156">
            <v>390</v>
          </cell>
          <cell r="L156">
            <v>0</v>
          </cell>
          <cell r="M156">
            <v>390</v>
          </cell>
          <cell r="O156">
            <v>1040</v>
          </cell>
          <cell r="P156">
            <v>1527.5</v>
          </cell>
          <cell r="R156">
            <v>1040</v>
          </cell>
          <cell r="S156">
            <v>1527.5</v>
          </cell>
        </row>
        <row r="157">
          <cell r="C157">
            <v>162.5</v>
          </cell>
          <cell r="D157">
            <v>162.5</v>
          </cell>
          <cell r="E157">
            <v>537.5</v>
          </cell>
          <cell r="F157">
            <v>537.5</v>
          </cell>
          <cell r="H157">
            <v>1462.5</v>
          </cell>
          <cell r="I157">
            <v>1462.5</v>
          </cell>
          <cell r="J157">
            <v>1837.5</v>
          </cell>
          <cell r="K157">
            <v>1837.5</v>
          </cell>
        </row>
        <row r="158">
          <cell r="C158">
            <v>390</v>
          </cell>
          <cell r="D158">
            <v>440</v>
          </cell>
          <cell r="E158">
            <v>440</v>
          </cell>
          <cell r="F158">
            <v>390</v>
          </cell>
          <cell r="H158">
            <v>390</v>
          </cell>
          <cell r="I158">
            <v>440</v>
          </cell>
          <cell r="J158">
            <v>440</v>
          </cell>
          <cell r="K158">
            <v>390</v>
          </cell>
        </row>
        <row r="159">
          <cell r="C159">
            <v>50</v>
          </cell>
          <cell r="D159">
            <v>1950</v>
          </cell>
          <cell r="G159">
            <v>50</v>
          </cell>
          <cell r="H159">
            <v>50</v>
          </cell>
          <cell r="I159">
            <v>1950</v>
          </cell>
          <cell r="J159">
            <v>1950</v>
          </cell>
          <cell r="Q159">
            <v>6</v>
          </cell>
        </row>
        <row r="160">
          <cell r="C160">
            <v>965</v>
          </cell>
          <cell r="D160">
            <v>965</v>
          </cell>
          <cell r="G160">
            <v>620</v>
          </cell>
          <cell r="H160">
            <v>490</v>
          </cell>
          <cell r="I160">
            <v>490</v>
          </cell>
          <cell r="J160">
            <v>620</v>
          </cell>
        </row>
        <row r="161">
          <cell r="C161">
            <v>125</v>
          </cell>
          <cell r="D161">
            <v>125</v>
          </cell>
          <cell r="F161">
            <v>475</v>
          </cell>
          <cell r="G161">
            <v>475</v>
          </cell>
          <cell r="I161">
            <v>825</v>
          </cell>
          <cell r="J161">
            <v>825</v>
          </cell>
          <cell r="L161">
            <v>1175</v>
          </cell>
          <cell r="M161">
            <v>1175</v>
          </cell>
          <cell r="O161">
            <v>1525</v>
          </cell>
          <cell r="P161">
            <v>1525</v>
          </cell>
          <cell r="R161">
            <v>1875</v>
          </cell>
          <cell r="S161">
            <v>1875</v>
          </cell>
          <cell r="U161">
            <v>1875</v>
          </cell>
          <cell r="V161">
            <v>1875</v>
          </cell>
          <cell r="X161">
            <v>1875</v>
          </cell>
          <cell r="Y161">
            <v>1875</v>
          </cell>
          <cell r="AA161">
            <v>1875</v>
          </cell>
          <cell r="AB161">
            <v>1875</v>
          </cell>
          <cell r="AD161">
            <v>1875</v>
          </cell>
          <cell r="AE161">
            <v>1875</v>
          </cell>
          <cell r="AG161">
            <v>1875</v>
          </cell>
          <cell r="AH161">
            <v>1875</v>
          </cell>
          <cell r="AJ161">
            <v>1875</v>
          </cell>
          <cell r="AK161">
            <v>1875</v>
          </cell>
          <cell r="AM161">
            <v>1875</v>
          </cell>
          <cell r="AN161">
            <v>1875</v>
          </cell>
          <cell r="AP161">
            <v>1875</v>
          </cell>
          <cell r="AQ161">
            <v>1875</v>
          </cell>
          <cell r="AS161">
            <v>1875</v>
          </cell>
          <cell r="AT161">
            <v>1875</v>
          </cell>
          <cell r="AV161">
            <v>1875</v>
          </cell>
          <cell r="AW161">
            <v>1875</v>
          </cell>
          <cell r="AY161">
            <v>1875</v>
          </cell>
          <cell r="AZ161">
            <v>1875</v>
          </cell>
          <cell r="BB161">
            <v>1875</v>
          </cell>
          <cell r="BC161">
            <v>1875</v>
          </cell>
          <cell r="BE161">
            <v>1875</v>
          </cell>
          <cell r="BF161">
            <v>1875</v>
          </cell>
          <cell r="BH161">
            <v>1875</v>
          </cell>
          <cell r="BI161">
            <v>1875</v>
          </cell>
        </row>
        <row r="162">
          <cell r="C162">
            <v>477.5</v>
          </cell>
          <cell r="D162">
            <v>977.5</v>
          </cell>
          <cell r="F162">
            <v>477.5</v>
          </cell>
          <cell r="G162">
            <v>977.5</v>
          </cell>
          <cell r="I162">
            <v>477.5</v>
          </cell>
          <cell r="J162">
            <v>977.5</v>
          </cell>
          <cell r="L162">
            <v>477.5</v>
          </cell>
          <cell r="M162">
            <v>977.5</v>
          </cell>
          <cell r="O162">
            <v>477.5</v>
          </cell>
          <cell r="P162">
            <v>977.5</v>
          </cell>
          <cell r="R162">
            <v>477.5</v>
          </cell>
          <cell r="S162">
            <v>977.5</v>
          </cell>
          <cell r="U162">
            <v>477.5</v>
          </cell>
          <cell r="V162">
            <v>977.5</v>
          </cell>
          <cell r="X162">
            <v>477.5</v>
          </cell>
          <cell r="Y162">
            <v>977.5</v>
          </cell>
          <cell r="AA162">
            <v>477.5</v>
          </cell>
          <cell r="AB162">
            <v>977.5</v>
          </cell>
          <cell r="AD162">
            <v>477.5</v>
          </cell>
          <cell r="AE162">
            <v>977.5</v>
          </cell>
          <cell r="AG162">
            <v>477.5</v>
          </cell>
          <cell r="AH162">
            <v>977.5</v>
          </cell>
          <cell r="AJ162">
            <v>477.5</v>
          </cell>
          <cell r="AK162">
            <v>977.5</v>
          </cell>
          <cell r="AM162">
            <v>477.5</v>
          </cell>
          <cell r="AN162">
            <v>977.5</v>
          </cell>
          <cell r="AP162">
            <v>477.5</v>
          </cell>
          <cell r="AQ162">
            <v>977.5</v>
          </cell>
          <cell r="AS162">
            <v>477.5</v>
          </cell>
          <cell r="AT162">
            <v>977.5</v>
          </cell>
          <cell r="AV162">
            <v>477.5</v>
          </cell>
          <cell r="AW162">
            <v>977.5</v>
          </cell>
          <cell r="AY162">
            <v>477.5</v>
          </cell>
          <cell r="AZ162">
            <v>977.5</v>
          </cell>
          <cell r="BB162">
            <v>477.5</v>
          </cell>
          <cell r="BC162">
            <v>977.5</v>
          </cell>
          <cell r="BE162">
            <v>477.5</v>
          </cell>
          <cell r="BF162">
            <v>977.5</v>
          </cell>
          <cell r="BH162">
            <v>477.5</v>
          </cell>
          <cell r="BI162">
            <v>977.5</v>
          </cell>
        </row>
        <row r="164">
          <cell r="C164">
            <v>0</v>
          </cell>
          <cell r="D164">
            <v>0</v>
          </cell>
          <cell r="E164">
            <v>3300</v>
          </cell>
          <cell r="F164">
            <v>3300</v>
          </cell>
          <cell r="G164">
            <v>0</v>
          </cell>
        </row>
        <row r="165">
          <cell r="C165">
            <v>390</v>
          </cell>
          <cell r="D165">
            <v>1040</v>
          </cell>
          <cell r="E165">
            <v>1040</v>
          </cell>
          <cell r="F165">
            <v>390</v>
          </cell>
          <cell r="G165">
            <v>390</v>
          </cell>
        </row>
        <row r="166">
          <cell r="C166">
            <v>162.5</v>
          </cell>
          <cell r="D166">
            <v>162.5</v>
          </cell>
          <cell r="F166">
            <v>537.5</v>
          </cell>
          <cell r="G166">
            <v>537.5</v>
          </cell>
          <cell r="I166">
            <v>1462.5</v>
          </cell>
          <cell r="J166">
            <v>1462.5</v>
          </cell>
          <cell r="L166">
            <v>1837.5</v>
          </cell>
          <cell r="M166">
            <v>1837.5</v>
          </cell>
          <cell r="O166">
            <v>2762.5</v>
          </cell>
          <cell r="P166">
            <v>2762.5</v>
          </cell>
          <cell r="R166">
            <v>3137.5</v>
          </cell>
          <cell r="S166">
            <v>3137.5</v>
          </cell>
          <cell r="U166">
            <v>1400</v>
          </cell>
          <cell r="V166">
            <v>1400</v>
          </cell>
          <cell r="X166">
            <v>1900</v>
          </cell>
          <cell r="Y166">
            <v>1900</v>
          </cell>
        </row>
        <row r="167">
          <cell r="C167">
            <v>0</v>
          </cell>
          <cell r="D167">
            <v>390</v>
          </cell>
          <cell r="F167">
            <v>0</v>
          </cell>
          <cell r="G167">
            <v>390</v>
          </cell>
          <cell r="I167">
            <v>0</v>
          </cell>
          <cell r="J167">
            <v>390</v>
          </cell>
          <cell r="L167">
            <v>0</v>
          </cell>
          <cell r="M167">
            <v>390</v>
          </cell>
          <cell r="O167">
            <v>0</v>
          </cell>
          <cell r="P167">
            <v>390</v>
          </cell>
          <cell r="R167">
            <v>0</v>
          </cell>
          <cell r="S167">
            <v>390</v>
          </cell>
          <cell r="U167">
            <v>1040</v>
          </cell>
          <cell r="V167">
            <v>1527.5</v>
          </cell>
          <cell r="X167">
            <v>1040</v>
          </cell>
          <cell r="Y167">
            <v>1527.5</v>
          </cell>
        </row>
        <row r="168">
          <cell r="C168">
            <v>162.5</v>
          </cell>
          <cell r="D168">
            <v>162.5</v>
          </cell>
          <cell r="E168">
            <v>537.5</v>
          </cell>
          <cell r="F168">
            <v>537.5</v>
          </cell>
          <cell r="H168">
            <v>1462.5</v>
          </cell>
          <cell r="I168">
            <v>1462.5</v>
          </cell>
          <cell r="J168">
            <v>1837.5</v>
          </cell>
          <cell r="K168">
            <v>1837.5</v>
          </cell>
          <cell r="M168">
            <v>2762.5</v>
          </cell>
          <cell r="N168">
            <v>2762.5</v>
          </cell>
          <cell r="O168">
            <v>3137.5</v>
          </cell>
          <cell r="P168">
            <v>3137.5</v>
          </cell>
        </row>
        <row r="169">
          <cell r="C169">
            <v>390</v>
          </cell>
          <cell r="D169">
            <v>440</v>
          </cell>
          <cell r="E169">
            <v>440</v>
          </cell>
          <cell r="F169">
            <v>390</v>
          </cell>
          <cell r="H169">
            <v>390</v>
          </cell>
          <cell r="I169">
            <v>440</v>
          </cell>
          <cell r="J169">
            <v>440</v>
          </cell>
          <cell r="K169">
            <v>390</v>
          </cell>
          <cell r="M169">
            <v>390</v>
          </cell>
          <cell r="N169">
            <v>440</v>
          </cell>
          <cell r="O169">
            <v>440</v>
          </cell>
          <cell r="P169">
            <v>390</v>
          </cell>
        </row>
        <row r="170">
          <cell r="C170">
            <v>50</v>
          </cell>
          <cell r="D170">
            <v>3250</v>
          </cell>
          <cell r="G170">
            <v>50</v>
          </cell>
          <cell r="H170">
            <v>50</v>
          </cell>
          <cell r="I170">
            <v>3250</v>
          </cell>
          <cell r="J170">
            <v>3250</v>
          </cell>
          <cell r="Q170">
            <v>8</v>
          </cell>
        </row>
        <row r="171">
          <cell r="C171">
            <v>990</v>
          </cell>
          <cell r="D171">
            <v>990</v>
          </cell>
          <cell r="G171">
            <v>600.5</v>
          </cell>
          <cell r="H171">
            <v>465</v>
          </cell>
          <cell r="I171">
            <v>465</v>
          </cell>
          <cell r="J171">
            <v>600.5</v>
          </cell>
        </row>
        <row r="172">
          <cell r="C172">
            <v>100</v>
          </cell>
          <cell r="D172">
            <v>100</v>
          </cell>
          <cell r="F172">
            <v>338.46153846153845</v>
          </cell>
          <cell r="G172">
            <v>338.46153846153845</v>
          </cell>
          <cell r="I172">
            <v>576.92307692307691</v>
          </cell>
          <cell r="J172">
            <v>576.92307692307691</v>
          </cell>
          <cell r="L172">
            <v>815.38461538461536</v>
          </cell>
          <cell r="M172">
            <v>815.38461538461536</v>
          </cell>
          <cell r="O172">
            <v>1053.8461538461538</v>
          </cell>
          <cell r="P172">
            <v>1053.8461538461538</v>
          </cell>
          <cell r="R172">
            <v>1292.3076923076924</v>
          </cell>
          <cell r="S172">
            <v>1292.3076923076924</v>
          </cell>
          <cell r="U172">
            <v>1530.7692307692309</v>
          </cell>
          <cell r="V172">
            <v>1530.7692307692309</v>
          </cell>
          <cell r="X172">
            <v>1769.2307692307695</v>
          </cell>
          <cell r="Y172">
            <v>1769.2307692307695</v>
          </cell>
          <cell r="AA172">
            <v>2007.6923076923081</v>
          </cell>
          <cell r="AB172">
            <v>2007.6923076923081</v>
          </cell>
          <cell r="AD172">
            <v>2246.1538461538466</v>
          </cell>
          <cell r="AE172">
            <v>2246.1538461538466</v>
          </cell>
          <cell r="AG172">
            <v>2484.6153846153852</v>
          </cell>
          <cell r="AH172">
            <v>2484.6153846153852</v>
          </cell>
          <cell r="AJ172">
            <v>2723.0769230769238</v>
          </cell>
          <cell r="AK172">
            <v>2723.0769230769238</v>
          </cell>
          <cell r="AM172">
            <v>2961.5384615384623</v>
          </cell>
          <cell r="AN172">
            <v>2961.5384615384623</v>
          </cell>
          <cell r="AP172">
            <v>3200</v>
          </cell>
          <cell r="AQ172">
            <v>3200</v>
          </cell>
          <cell r="AS172">
            <v>3200</v>
          </cell>
          <cell r="AT172">
            <v>3200</v>
          </cell>
          <cell r="AV172">
            <v>3200</v>
          </cell>
          <cell r="AW172">
            <v>3200</v>
          </cell>
          <cell r="AY172">
            <v>3200</v>
          </cell>
          <cell r="AZ172">
            <v>3200</v>
          </cell>
          <cell r="BB172">
            <v>3200</v>
          </cell>
          <cell r="BC172">
            <v>3200</v>
          </cell>
          <cell r="BE172">
            <v>3200</v>
          </cell>
          <cell r="BF172">
            <v>3200</v>
          </cell>
          <cell r="BH172">
            <v>3200</v>
          </cell>
          <cell r="BI172">
            <v>3200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_m.webster@which.net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10" Type="http://schemas.openxmlformats.org/officeDocument/2006/relationships/ctrlProp" Target="../ctrlProps/ctrlProp2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9"/>
  <sheetViews>
    <sheetView tabSelected="1" topLeftCell="A28" workbookViewId="0">
      <selection activeCell="G118" sqref="G118"/>
    </sheetView>
  </sheetViews>
  <sheetFormatPr defaultColWidth="11.140625" defaultRowHeight="15"/>
  <cols>
    <col min="1" max="1" width="3.85546875" style="29" customWidth="1"/>
    <col min="2" max="2" width="14.7109375" style="29" customWidth="1"/>
    <col min="3" max="9" width="10.7109375" style="29" customWidth="1"/>
    <col min="10" max="10" width="13.140625" style="29" customWidth="1"/>
    <col min="11" max="11" width="10.7109375" style="29" customWidth="1"/>
    <col min="12" max="12" width="56.5703125" style="29" bestFit="1" customWidth="1"/>
    <col min="13" max="256" width="11.140625" style="29"/>
    <col min="257" max="257" width="3.85546875" style="29" customWidth="1"/>
    <col min="258" max="258" width="14.7109375" style="29" customWidth="1"/>
    <col min="259" max="265" width="10.7109375" style="29" customWidth="1"/>
    <col min="266" max="266" width="13.140625" style="29" customWidth="1"/>
    <col min="267" max="267" width="10.7109375" style="29" customWidth="1"/>
    <col min="268" max="268" width="56.5703125" style="29" bestFit="1" customWidth="1"/>
    <col min="269" max="512" width="11.140625" style="29"/>
    <col min="513" max="513" width="3.85546875" style="29" customWidth="1"/>
    <col min="514" max="514" width="14.7109375" style="29" customWidth="1"/>
    <col min="515" max="521" width="10.7109375" style="29" customWidth="1"/>
    <col min="522" max="522" width="13.140625" style="29" customWidth="1"/>
    <col min="523" max="523" width="10.7109375" style="29" customWidth="1"/>
    <col min="524" max="524" width="56.5703125" style="29" bestFit="1" customWidth="1"/>
    <col min="525" max="768" width="11.140625" style="29"/>
    <col min="769" max="769" width="3.85546875" style="29" customWidth="1"/>
    <col min="770" max="770" width="14.7109375" style="29" customWidth="1"/>
    <col min="771" max="777" width="10.7109375" style="29" customWidth="1"/>
    <col min="778" max="778" width="13.140625" style="29" customWidth="1"/>
    <col min="779" max="779" width="10.7109375" style="29" customWidth="1"/>
    <col min="780" max="780" width="56.5703125" style="29" bestFit="1" customWidth="1"/>
    <col min="781" max="1024" width="11.140625" style="29"/>
    <col min="1025" max="1025" width="3.85546875" style="29" customWidth="1"/>
    <col min="1026" max="1026" width="14.7109375" style="29" customWidth="1"/>
    <col min="1027" max="1033" width="10.7109375" style="29" customWidth="1"/>
    <col min="1034" max="1034" width="13.140625" style="29" customWidth="1"/>
    <col min="1035" max="1035" width="10.7109375" style="29" customWidth="1"/>
    <col min="1036" max="1036" width="56.5703125" style="29" bestFit="1" customWidth="1"/>
    <col min="1037" max="1280" width="11.140625" style="29"/>
    <col min="1281" max="1281" width="3.85546875" style="29" customWidth="1"/>
    <col min="1282" max="1282" width="14.7109375" style="29" customWidth="1"/>
    <col min="1283" max="1289" width="10.7109375" style="29" customWidth="1"/>
    <col min="1290" max="1290" width="13.140625" style="29" customWidth="1"/>
    <col min="1291" max="1291" width="10.7109375" style="29" customWidth="1"/>
    <col min="1292" max="1292" width="56.5703125" style="29" bestFit="1" customWidth="1"/>
    <col min="1293" max="1536" width="11.140625" style="29"/>
    <col min="1537" max="1537" width="3.85546875" style="29" customWidth="1"/>
    <col min="1538" max="1538" width="14.7109375" style="29" customWidth="1"/>
    <col min="1539" max="1545" width="10.7109375" style="29" customWidth="1"/>
    <col min="1546" max="1546" width="13.140625" style="29" customWidth="1"/>
    <col min="1547" max="1547" width="10.7109375" style="29" customWidth="1"/>
    <col min="1548" max="1548" width="56.5703125" style="29" bestFit="1" customWidth="1"/>
    <col min="1549" max="1792" width="11.140625" style="29"/>
    <col min="1793" max="1793" width="3.85546875" style="29" customWidth="1"/>
    <col min="1794" max="1794" width="14.7109375" style="29" customWidth="1"/>
    <col min="1795" max="1801" width="10.7109375" style="29" customWidth="1"/>
    <col min="1802" max="1802" width="13.140625" style="29" customWidth="1"/>
    <col min="1803" max="1803" width="10.7109375" style="29" customWidth="1"/>
    <col min="1804" max="1804" width="56.5703125" style="29" bestFit="1" customWidth="1"/>
    <col min="1805" max="2048" width="11.140625" style="29"/>
    <col min="2049" max="2049" width="3.85546875" style="29" customWidth="1"/>
    <col min="2050" max="2050" width="14.7109375" style="29" customWidth="1"/>
    <col min="2051" max="2057" width="10.7109375" style="29" customWidth="1"/>
    <col min="2058" max="2058" width="13.140625" style="29" customWidth="1"/>
    <col min="2059" max="2059" width="10.7109375" style="29" customWidth="1"/>
    <col min="2060" max="2060" width="56.5703125" style="29" bestFit="1" customWidth="1"/>
    <col min="2061" max="2304" width="11.140625" style="29"/>
    <col min="2305" max="2305" width="3.85546875" style="29" customWidth="1"/>
    <col min="2306" max="2306" width="14.7109375" style="29" customWidth="1"/>
    <col min="2307" max="2313" width="10.7109375" style="29" customWidth="1"/>
    <col min="2314" max="2314" width="13.140625" style="29" customWidth="1"/>
    <col min="2315" max="2315" width="10.7109375" style="29" customWidth="1"/>
    <col min="2316" max="2316" width="56.5703125" style="29" bestFit="1" customWidth="1"/>
    <col min="2317" max="2560" width="11.140625" style="29"/>
    <col min="2561" max="2561" width="3.85546875" style="29" customWidth="1"/>
    <col min="2562" max="2562" width="14.7109375" style="29" customWidth="1"/>
    <col min="2563" max="2569" width="10.7109375" style="29" customWidth="1"/>
    <col min="2570" max="2570" width="13.140625" style="29" customWidth="1"/>
    <col min="2571" max="2571" width="10.7109375" style="29" customWidth="1"/>
    <col min="2572" max="2572" width="56.5703125" style="29" bestFit="1" customWidth="1"/>
    <col min="2573" max="2816" width="11.140625" style="29"/>
    <col min="2817" max="2817" width="3.85546875" style="29" customWidth="1"/>
    <col min="2818" max="2818" width="14.7109375" style="29" customWidth="1"/>
    <col min="2819" max="2825" width="10.7109375" style="29" customWidth="1"/>
    <col min="2826" max="2826" width="13.140625" style="29" customWidth="1"/>
    <col min="2827" max="2827" width="10.7109375" style="29" customWidth="1"/>
    <col min="2828" max="2828" width="56.5703125" style="29" bestFit="1" customWidth="1"/>
    <col min="2829" max="3072" width="11.140625" style="29"/>
    <col min="3073" max="3073" width="3.85546875" style="29" customWidth="1"/>
    <col min="3074" max="3074" width="14.7109375" style="29" customWidth="1"/>
    <col min="3075" max="3081" width="10.7109375" style="29" customWidth="1"/>
    <col min="3082" max="3082" width="13.140625" style="29" customWidth="1"/>
    <col min="3083" max="3083" width="10.7109375" style="29" customWidth="1"/>
    <col min="3084" max="3084" width="56.5703125" style="29" bestFit="1" customWidth="1"/>
    <col min="3085" max="3328" width="11.140625" style="29"/>
    <col min="3329" max="3329" width="3.85546875" style="29" customWidth="1"/>
    <col min="3330" max="3330" width="14.7109375" style="29" customWidth="1"/>
    <col min="3331" max="3337" width="10.7109375" style="29" customWidth="1"/>
    <col min="3338" max="3338" width="13.140625" style="29" customWidth="1"/>
    <col min="3339" max="3339" width="10.7109375" style="29" customWidth="1"/>
    <col min="3340" max="3340" width="56.5703125" style="29" bestFit="1" customWidth="1"/>
    <col min="3341" max="3584" width="11.140625" style="29"/>
    <col min="3585" max="3585" width="3.85546875" style="29" customWidth="1"/>
    <col min="3586" max="3586" width="14.7109375" style="29" customWidth="1"/>
    <col min="3587" max="3593" width="10.7109375" style="29" customWidth="1"/>
    <col min="3594" max="3594" width="13.140625" style="29" customWidth="1"/>
    <col min="3595" max="3595" width="10.7109375" style="29" customWidth="1"/>
    <col min="3596" max="3596" width="56.5703125" style="29" bestFit="1" customWidth="1"/>
    <col min="3597" max="3840" width="11.140625" style="29"/>
    <col min="3841" max="3841" width="3.85546875" style="29" customWidth="1"/>
    <col min="3842" max="3842" width="14.7109375" style="29" customWidth="1"/>
    <col min="3843" max="3849" width="10.7109375" style="29" customWidth="1"/>
    <col min="3850" max="3850" width="13.140625" style="29" customWidth="1"/>
    <col min="3851" max="3851" width="10.7109375" style="29" customWidth="1"/>
    <col min="3852" max="3852" width="56.5703125" style="29" bestFit="1" customWidth="1"/>
    <col min="3853" max="4096" width="11.140625" style="29"/>
    <col min="4097" max="4097" width="3.85546875" style="29" customWidth="1"/>
    <col min="4098" max="4098" width="14.7109375" style="29" customWidth="1"/>
    <col min="4099" max="4105" width="10.7109375" style="29" customWidth="1"/>
    <col min="4106" max="4106" width="13.140625" style="29" customWidth="1"/>
    <col min="4107" max="4107" width="10.7109375" style="29" customWidth="1"/>
    <col min="4108" max="4108" width="56.5703125" style="29" bestFit="1" customWidth="1"/>
    <col min="4109" max="4352" width="11.140625" style="29"/>
    <col min="4353" max="4353" width="3.85546875" style="29" customWidth="1"/>
    <col min="4354" max="4354" width="14.7109375" style="29" customWidth="1"/>
    <col min="4355" max="4361" width="10.7109375" style="29" customWidth="1"/>
    <col min="4362" max="4362" width="13.140625" style="29" customWidth="1"/>
    <col min="4363" max="4363" width="10.7109375" style="29" customWidth="1"/>
    <col min="4364" max="4364" width="56.5703125" style="29" bestFit="1" customWidth="1"/>
    <col min="4365" max="4608" width="11.140625" style="29"/>
    <col min="4609" max="4609" width="3.85546875" style="29" customWidth="1"/>
    <col min="4610" max="4610" width="14.7109375" style="29" customWidth="1"/>
    <col min="4611" max="4617" width="10.7109375" style="29" customWidth="1"/>
    <col min="4618" max="4618" width="13.140625" style="29" customWidth="1"/>
    <col min="4619" max="4619" width="10.7109375" style="29" customWidth="1"/>
    <col min="4620" max="4620" width="56.5703125" style="29" bestFit="1" customWidth="1"/>
    <col min="4621" max="4864" width="11.140625" style="29"/>
    <col min="4865" max="4865" width="3.85546875" style="29" customWidth="1"/>
    <col min="4866" max="4866" width="14.7109375" style="29" customWidth="1"/>
    <col min="4867" max="4873" width="10.7109375" style="29" customWidth="1"/>
    <col min="4874" max="4874" width="13.140625" style="29" customWidth="1"/>
    <col min="4875" max="4875" width="10.7109375" style="29" customWidth="1"/>
    <col min="4876" max="4876" width="56.5703125" style="29" bestFit="1" customWidth="1"/>
    <col min="4877" max="5120" width="11.140625" style="29"/>
    <col min="5121" max="5121" width="3.85546875" style="29" customWidth="1"/>
    <col min="5122" max="5122" width="14.7109375" style="29" customWidth="1"/>
    <col min="5123" max="5129" width="10.7109375" style="29" customWidth="1"/>
    <col min="5130" max="5130" width="13.140625" style="29" customWidth="1"/>
    <col min="5131" max="5131" width="10.7109375" style="29" customWidth="1"/>
    <col min="5132" max="5132" width="56.5703125" style="29" bestFit="1" customWidth="1"/>
    <col min="5133" max="5376" width="11.140625" style="29"/>
    <col min="5377" max="5377" width="3.85546875" style="29" customWidth="1"/>
    <col min="5378" max="5378" width="14.7109375" style="29" customWidth="1"/>
    <col min="5379" max="5385" width="10.7109375" style="29" customWidth="1"/>
    <col min="5386" max="5386" width="13.140625" style="29" customWidth="1"/>
    <col min="5387" max="5387" width="10.7109375" style="29" customWidth="1"/>
    <col min="5388" max="5388" width="56.5703125" style="29" bestFit="1" customWidth="1"/>
    <col min="5389" max="5632" width="11.140625" style="29"/>
    <col min="5633" max="5633" width="3.85546875" style="29" customWidth="1"/>
    <col min="5634" max="5634" width="14.7109375" style="29" customWidth="1"/>
    <col min="5635" max="5641" width="10.7109375" style="29" customWidth="1"/>
    <col min="5642" max="5642" width="13.140625" style="29" customWidth="1"/>
    <col min="5643" max="5643" width="10.7109375" style="29" customWidth="1"/>
    <col min="5644" max="5644" width="56.5703125" style="29" bestFit="1" customWidth="1"/>
    <col min="5645" max="5888" width="11.140625" style="29"/>
    <col min="5889" max="5889" width="3.85546875" style="29" customWidth="1"/>
    <col min="5890" max="5890" width="14.7109375" style="29" customWidth="1"/>
    <col min="5891" max="5897" width="10.7109375" style="29" customWidth="1"/>
    <col min="5898" max="5898" width="13.140625" style="29" customWidth="1"/>
    <col min="5899" max="5899" width="10.7109375" style="29" customWidth="1"/>
    <col min="5900" max="5900" width="56.5703125" style="29" bestFit="1" customWidth="1"/>
    <col min="5901" max="6144" width="11.140625" style="29"/>
    <col min="6145" max="6145" width="3.85546875" style="29" customWidth="1"/>
    <col min="6146" max="6146" width="14.7109375" style="29" customWidth="1"/>
    <col min="6147" max="6153" width="10.7109375" style="29" customWidth="1"/>
    <col min="6154" max="6154" width="13.140625" style="29" customWidth="1"/>
    <col min="6155" max="6155" width="10.7109375" style="29" customWidth="1"/>
    <col min="6156" max="6156" width="56.5703125" style="29" bestFit="1" customWidth="1"/>
    <col min="6157" max="6400" width="11.140625" style="29"/>
    <col min="6401" max="6401" width="3.85546875" style="29" customWidth="1"/>
    <col min="6402" max="6402" width="14.7109375" style="29" customWidth="1"/>
    <col min="6403" max="6409" width="10.7109375" style="29" customWidth="1"/>
    <col min="6410" max="6410" width="13.140625" style="29" customWidth="1"/>
    <col min="6411" max="6411" width="10.7109375" style="29" customWidth="1"/>
    <col min="6412" max="6412" width="56.5703125" style="29" bestFit="1" customWidth="1"/>
    <col min="6413" max="6656" width="11.140625" style="29"/>
    <col min="6657" max="6657" width="3.85546875" style="29" customWidth="1"/>
    <col min="6658" max="6658" width="14.7109375" style="29" customWidth="1"/>
    <col min="6659" max="6665" width="10.7109375" style="29" customWidth="1"/>
    <col min="6666" max="6666" width="13.140625" style="29" customWidth="1"/>
    <col min="6667" max="6667" width="10.7109375" style="29" customWidth="1"/>
    <col min="6668" max="6668" width="56.5703125" style="29" bestFit="1" customWidth="1"/>
    <col min="6669" max="6912" width="11.140625" style="29"/>
    <col min="6913" max="6913" width="3.85546875" style="29" customWidth="1"/>
    <col min="6914" max="6914" width="14.7109375" style="29" customWidth="1"/>
    <col min="6915" max="6921" width="10.7109375" style="29" customWidth="1"/>
    <col min="6922" max="6922" width="13.140625" style="29" customWidth="1"/>
    <col min="6923" max="6923" width="10.7109375" style="29" customWidth="1"/>
    <col min="6924" max="6924" width="56.5703125" style="29" bestFit="1" customWidth="1"/>
    <col min="6925" max="7168" width="11.140625" style="29"/>
    <col min="7169" max="7169" width="3.85546875" style="29" customWidth="1"/>
    <col min="7170" max="7170" width="14.7109375" style="29" customWidth="1"/>
    <col min="7171" max="7177" width="10.7109375" style="29" customWidth="1"/>
    <col min="7178" max="7178" width="13.140625" style="29" customWidth="1"/>
    <col min="7179" max="7179" width="10.7109375" style="29" customWidth="1"/>
    <col min="7180" max="7180" width="56.5703125" style="29" bestFit="1" customWidth="1"/>
    <col min="7181" max="7424" width="11.140625" style="29"/>
    <col min="7425" max="7425" width="3.85546875" style="29" customWidth="1"/>
    <col min="7426" max="7426" width="14.7109375" style="29" customWidth="1"/>
    <col min="7427" max="7433" width="10.7109375" style="29" customWidth="1"/>
    <col min="7434" max="7434" width="13.140625" style="29" customWidth="1"/>
    <col min="7435" max="7435" width="10.7109375" style="29" customWidth="1"/>
    <col min="7436" max="7436" width="56.5703125" style="29" bestFit="1" customWidth="1"/>
    <col min="7437" max="7680" width="11.140625" style="29"/>
    <col min="7681" max="7681" width="3.85546875" style="29" customWidth="1"/>
    <col min="7682" max="7682" width="14.7109375" style="29" customWidth="1"/>
    <col min="7683" max="7689" width="10.7109375" style="29" customWidth="1"/>
    <col min="7690" max="7690" width="13.140625" style="29" customWidth="1"/>
    <col min="7691" max="7691" width="10.7109375" style="29" customWidth="1"/>
    <col min="7692" max="7692" width="56.5703125" style="29" bestFit="1" customWidth="1"/>
    <col min="7693" max="7936" width="11.140625" style="29"/>
    <col min="7937" max="7937" width="3.85546875" style="29" customWidth="1"/>
    <col min="7938" max="7938" width="14.7109375" style="29" customWidth="1"/>
    <col min="7939" max="7945" width="10.7109375" style="29" customWidth="1"/>
    <col min="7946" max="7946" width="13.140625" style="29" customWidth="1"/>
    <col min="7947" max="7947" width="10.7109375" style="29" customWidth="1"/>
    <col min="7948" max="7948" width="56.5703125" style="29" bestFit="1" customWidth="1"/>
    <col min="7949" max="8192" width="11.140625" style="29"/>
    <col min="8193" max="8193" width="3.85546875" style="29" customWidth="1"/>
    <col min="8194" max="8194" width="14.7109375" style="29" customWidth="1"/>
    <col min="8195" max="8201" width="10.7109375" style="29" customWidth="1"/>
    <col min="8202" max="8202" width="13.140625" style="29" customWidth="1"/>
    <col min="8203" max="8203" width="10.7109375" style="29" customWidth="1"/>
    <col min="8204" max="8204" width="56.5703125" style="29" bestFit="1" customWidth="1"/>
    <col min="8205" max="8448" width="11.140625" style="29"/>
    <col min="8449" max="8449" width="3.85546875" style="29" customWidth="1"/>
    <col min="8450" max="8450" width="14.7109375" style="29" customWidth="1"/>
    <col min="8451" max="8457" width="10.7109375" style="29" customWidth="1"/>
    <col min="8458" max="8458" width="13.140625" style="29" customWidth="1"/>
    <col min="8459" max="8459" width="10.7109375" style="29" customWidth="1"/>
    <col min="8460" max="8460" width="56.5703125" style="29" bestFit="1" customWidth="1"/>
    <col min="8461" max="8704" width="11.140625" style="29"/>
    <col min="8705" max="8705" width="3.85546875" style="29" customWidth="1"/>
    <col min="8706" max="8706" width="14.7109375" style="29" customWidth="1"/>
    <col min="8707" max="8713" width="10.7109375" style="29" customWidth="1"/>
    <col min="8714" max="8714" width="13.140625" style="29" customWidth="1"/>
    <col min="8715" max="8715" width="10.7109375" style="29" customWidth="1"/>
    <col min="8716" max="8716" width="56.5703125" style="29" bestFit="1" customWidth="1"/>
    <col min="8717" max="8960" width="11.140625" style="29"/>
    <col min="8961" max="8961" width="3.85546875" style="29" customWidth="1"/>
    <col min="8962" max="8962" width="14.7109375" style="29" customWidth="1"/>
    <col min="8963" max="8969" width="10.7109375" style="29" customWidth="1"/>
    <col min="8970" max="8970" width="13.140625" style="29" customWidth="1"/>
    <col min="8971" max="8971" width="10.7109375" style="29" customWidth="1"/>
    <col min="8972" max="8972" width="56.5703125" style="29" bestFit="1" customWidth="1"/>
    <col min="8973" max="9216" width="11.140625" style="29"/>
    <col min="9217" max="9217" width="3.85546875" style="29" customWidth="1"/>
    <col min="9218" max="9218" width="14.7109375" style="29" customWidth="1"/>
    <col min="9219" max="9225" width="10.7109375" style="29" customWidth="1"/>
    <col min="9226" max="9226" width="13.140625" style="29" customWidth="1"/>
    <col min="9227" max="9227" width="10.7109375" style="29" customWidth="1"/>
    <col min="9228" max="9228" width="56.5703125" style="29" bestFit="1" customWidth="1"/>
    <col min="9229" max="9472" width="11.140625" style="29"/>
    <col min="9473" max="9473" width="3.85546875" style="29" customWidth="1"/>
    <col min="9474" max="9474" width="14.7109375" style="29" customWidth="1"/>
    <col min="9475" max="9481" width="10.7109375" style="29" customWidth="1"/>
    <col min="9482" max="9482" width="13.140625" style="29" customWidth="1"/>
    <col min="9483" max="9483" width="10.7109375" style="29" customWidth="1"/>
    <col min="9484" max="9484" width="56.5703125" style="29" bestFit="1" customWidth="1"/>
    <col min="9485" max="9728" width="11.140625" style="29"/>
    <col min="9729" max="9729" width="3.85546875" style="29" customWidth="1"/>
    <col min="9730" max="9730" width="14.7109375" style="29" customWidth="1"/>
    <col min="9731" max="9737" width="10.7109375" style="29" customWidth="1"/>
    <col min="9738" max="9738" width="13.140625" style="29" customWidth="1"/>
    <col min="9739" max="9739" width="10.7109375" style="29" customWidth="1"/>
    <col min="9740" max="9740" width="56.5703125" style="29" bestFit="1" customWidth="1"/>
    <col min="9741" max="9984" width="11.140625" style="29"/>
    <col min="9985" max="9985" width="3.85546875" style="29" customWidth="1"/>
    <col min="9986" max="9986" width="14.7109375" style="29" customWidth="1"/>
    <col min="9987" max="9993" width="10.7109375" style="29" customWidth="1"/>
    <col min="9994" max="9994" width="13.140625" style="29" customWidth="1"/>
    <col min="9995" max="9995" width="10.7109375" style="29" customWidth="1"/>
    <col min="9996" max="9996" width="56.5703125" style="29" bestFit="1" customWidth="1"/>
    <col min="9997" max="10240" width="11.140625" style="29"/>
    <col min="10241" max="10241" width="3.85546875" style="29" customWidth="1"/>
    <col min="10242" max="10242" width="14.7109375" style="29" customWidth="1"/>
    <col min="10243" max="10249" width="10.7109375" style="29" customWidth="1"/>
    <col min="10250" max="10250" width="13.140625" style="29" customWidth="1"/>
    <col min="10251" max="10251" width="10.7109375" style="29" customWidth="1"/>
    <col min="10252" max="10252" width="56.5703125" style="29" bestFit="1" customWidth="1"/>
    <col min="10253" max="10496" width="11.140625" style="29"/>
    <col min="10497" max="10497" width="3.85546875" style="29" customWidth="1"/>
    <col min="10498" max="10498" width="14.7109375" style="29" customWidth="1"/>
    <col min="10499" max="10505" width="10.7109375" style="29" customWidth="1"/>
    <col min="10506" max="10506" width="13.140625" style="29" customWidth="1"/>
    <col min="10507" max="10507" width="10.7109375" style="29" customWidth="1"/>
    <col min="10508" max="10508" width="56.5703125" style="29" bestFit="1" customWidth="1"/>
    <col min="10509" max="10752" width="11.140625" style="29"/>
    <col min="10753" max="10753" width="3.85546875" style="29" customWidth="1"/>
    <col min="10754" max="10754" width="14.7109375" style="29" customWidth="1"/>
    <col min="10755" max="10761" width="10.7109375" style="29" customWidth="1"/>
    <col min="10762" max="10762" width="13.140625" style="29" customWidth="1"/>
    <col min="10763" max="10763" width="10.7109375" style="29" customWidth="1"/>
    <col min="10764" max="10764" width="56.5703125" style="29" bestFit="1" customWidth="1"/>
    <col min="10765" max="11008" width="11.140625" style="29"/>
    <col min="11009" max="11009" width="3.85546875" style="29" customWidth="1"/>
    <col min="11010" max="11010" width="14.7109375" style="29" customWidth="1"/>
    <col min="11011" max="11017" width="10.7109375" style="29" customWidth="1"/>
    <col min="11018" max="11018" width="13.140625" style="29" customWidth="1"/>
    <col min="11019" max="11019" width="10.7109375" style="29" customWidth="1"/>
    <col min="11020" max="11020" width="56.5703125" style="29" bestFit="1" customWidth="1"/>
    <col min="11021" max="11264" width="11.140625" style="29"/>
    <col min="11265" max="11265" width="3.85546875" style="29" customWidth="1"/>
    <col min="11266" max="11266" width="14.7109375" style="29" customWidth="1"/>
    <col min="11267" max="11273" width="10.7109375" style="29" customWidth="1"/>
    <col min="11274" max="11274" width="13.140625" style="29" customWidth="1"/>
    <col min="11275" max="11275" width="10.7109375" style="29" customWidth="1"/>
    <col min="11276" max="11276" width="56.5703125" style="29" bestFit="1" customWidth="1"/>
    <col min="11277" max="11520" width="11.140625" style="29"/>
    <col min="11521" max="11521" width="3.85546875" style="29" customWidth="1"/>
    <col min="11522" max="11522" width="14.7109375" style="29" customWidth="1"/>
    <col min="11523" max="11529" width="10.7109375" style="29" customWidth="1"/>
    <col min="11530" max="11530" width="13.140625" style="29" customWidth="1"/>
    <col min="11531" max="11531" width="10.7109375" style="29" customWidth="1"/>
    <col min="11532" max="11532" width="56.5703125" style="29" bestFit="1" customWidth="1"/>
    <col min="11533" max="11776" width="11.140625" style="29"/>
    <col min="11777" max="11777" width="3.85546875" style="29" customWidth="1"/>
    <col min="11778" max="11778" width="14.7109375" style="29" customWidth="1"/>
    <col min="11779" max="11785" width="10.7109375" style="29" customWidth="1"/>
    <col min="11786" max="11786" width="13.140625" style="29" customWidth="1"/>
    <col min="11787" max="11787" width="10.7109375" style="29" customWidth="1"/>
    <col min="11788" max="11788" width="56.5703125" style="29" bestFit="1" customWidth="1"/>
    <col min="11789" max="12032" width="11.140625" style="29"/>
    <col min="12033" max="12033" width="3.85546875" style="29" customWidth="1"/>
    <col min="12034" max="12034" width="14.7109375" style="29" customWidth="1"/>
    <col min="12035" max="12041" width="10.7109375" style="29" customWidth="1"/>
    <col min="12042" max="12042" width="13.140625" style="29" customWidth="1"/>
    <col min="12043" max="12043" width="10.7109375" style="29" customWidth="1"/>
    <col min="12044" max="12044" width="56.5703125" style="29" bestFit="1" customWidth="1"/>
    <col min="12045" max="12288" width="11.140625" style="29"/>
    <col min="12289" max="12289" width="3.85546875" style="29" customWidth="1"/>
    <col min="12290" max="12290" width="14.7109375" style="29" customWidth="1"/>
    <col min="12291" max="12297" width="10.7109375" style="29" customWidth="1"/>
    <col min="12298" max="12298" width="13.140625" style="29" customWidth="1"/>
    <col min="12299" max="12299" width="10.7109375" style="29" customWidth="1"/>
    <col min="12300" max="12300" width="56.5703125" style="29" bestFit="1" customWidth="1"/>
    <col min="12301" max="12544" width="11.140625" style="29"/>
    <col min="12545" max="12545" width="3.85546875" style="29" customWidth="1"/>
    <col min="12546" max="12546" width="14.7109375" style="29" customWidth="1"/>
    <col min="12547" max="12553" width="10.7109375" style="29" customWidth="1"/>
    <col min="12554" max="12554" width="13.140625" style="29" customWidth="1"/>
    <col min="12555" max="12555" width="10.7109375" style="29" customWidth="1"/>
    <col min="12556" max="12556" width="56.5703125" style="29" bestFit="1" customWidth="1"/>
    <col min="12557" max="12800" width="11.140625" style="29"/>
    <col min="12801" max="12801" width="3.85546875" style="29" customWidth="1"/>
    <col min="12802" max="12802" width="14.7109375" style="29" customWidth="1"/>
    <col min="12803" max="12809" width="10.7109375" style="29" customWidth="1"/>
    <col min="12810" max="12810" width="13.140625" style="29" customWidth="1"/>
    <col min="12811" max="12811" width="10.7109375" style="29" customWidth="1"/>
    <col min="12812" max="12812" width="56.5703125" style="29" bestFit="1" customWidth="1"/>
    <col min="12813" max="13056" width="11.140625" style="29"/>
    <col min="13057" max="13057" width="3.85546875" style="29" customWidth="1"/>
    <col min="13058" max="13058" width="14.7109375" style="29" customWidth="1"/>
    <col min="13059" max="13065" width="10.7109375" style="29" customWidth="1"/>
    <col min="13066" max="13066" width="13.140625" style="29" customWidth="1"/>
    <col min="13067" max="13067" width="10.7109375" style="29" customWidth="1"/>
    <col min="13068" max="13068" width="56.5703125" style="29" bestFit="1" customWidth="1"/>
    <col min="13069" max="13312" width="11.140625" style="29"/>
    <col min="13313" max="13313" width="3.85546875" style="29" customWidth="1"/>
    <col min="13314" max="13314" width="14.7109375" style="29" customWidth="1"/>
    <col min="13315" max="13321" width="10.7109375" style="29" customWidth="1"/>
    <col min="13322" max="13322" width="13.140625" style="29" customWidth="1"/>
    <col min="13323" max="13323" width="10.7109375" style="29" customWidth="1"/>
    <col min="13324" max="13324" width="56.5703125" style="29" bestFit="1" customWidth="1"/>
    <col min="13325" max="13568" width="11.140625" style="29"/>
    <col min="13569" max="13569" width="3.85546875" style="29" customWidth="1"/>
    <col min="13570" max="13570" width="14.7109375" style="29" customWidth="1"/>
    <col min="13571" max="13577" width="10.7109375" style="29" customWidth="1"/>
    <col min="13578" max="13578" width="13.140625" style="29" customWidth="1"/>
    <col min="13579" max="13579" width="10.7109375" style="29" customWidth="1"/>
    <col min="13580" max="13580" width="56.5703125" style="29" bestFit="1" customWidth="1"/>
    <col min="13581" max="13824" width="11.140625" style="29"/>
    <col min="13825" max="13825" width="3.85546875" style="29" customWidth="1"/>
    <col min="13826" max="13826" width="14.7109375" style="29" customWidth="1"/>
    <col min="13827" max="13833" width="10.7109375" style="29" customWidth="1"/>
    <col min="13834" max="13834" width="13.140625" style="29" customWidth="1"/>
    <col min="13835" max="13835" width="10.7109375" style="29" customWidth="1"/>
    <col min="13836" max="13836" width="56.5703125" style="29" bestFit="1" customWidth="1"/>
    <col min="13837" max="14080" width="11.140625" style="29"/>
    <col min="14081" max="14081" width="3.85546875" style="29" customWidth="1"/>
    <col min="14082" max="14082" width="14.7109375" style="29" customWidth="1"/>
    <col min="14083" max="14089" width="10.7109375" style="29" customWidth="1"/>
    <col min="14090" max="14090" width="13.140625" style="29" customWidth="1"/>
    <col min="14091" max="14091" width="10.7109375" style="29" customWidth="1"/>
    <col min="14092" max="14092" width="56.5703125" style="29" bestFit="1" customWidth="1"/>
    <col min="14093" max="14336" width="11.140625" style="29"/>
    <col min="14337" max="14337" width="3.85546875" style="29" customWidth="1"/>
    <col min="14338" max="14338" width="14.7109375" style="29" customWidth="1"/>
    <col min="14339" max="14345" width="10.7109375" style="29" customWidth="1"/>
    <col min="14346" max="14346" width="13.140625" style="29" customWidth="1"/>
    <col min="14347" max="14347" width="10.7109375" style="29" customWidth="1"/>
    <col min="14348" max="14348" width="56.5703125" style="29" bestFit="1" customWidth="1"/>
    <col min="14349" max="14592" width="11.140625" style="29"/>
    <col min="14593" max="14593" width="3.85546875" style="29" customWidth="1"/>
    <col min="14594" max="14594" width="14.7109375" style="29" customWidth="1"/>
    <col min="14595" max="14601" width="10.7109375" style="29" customWidth="1"/>
    <col min="14602" max="14602" width="13.140625" style="29" customWidth="1"/>
    <col min="14603" max="14603" width="10.7109375" style="29" customWidth="1"/>
    <col min="14604" max="14604" width="56.5703125" style="29" bestFit="1" customWidth="1"/>
    <col min="14605" max="14848" width="11.140625" style="29"/>
    <col min="14849" max="14849" width="3.85546875" style="29" customWidth="1"/>
    <col min="14850" max="14850" width="14.7109375" style="29" customWidth="1"/>
    <col min="14851" max="14857" width="10.7109375" style="29" customWidth="1"/>
    <col min="14858" max="14858" width="13.140625" style="29" customWidth="1"/>
    <col min="14859" max="14859" width="10.7109375" style="29" customWidth="1"/>
    <col min="14860" max="14860" width="56.5703125" style="29" bestFit="1" customWidth="1"/>
    <col min="14861" max="15104" width="11.140625" style="29"/>
    <col min="15105" max="15105" width="3.85546875" style="29" customWidth="1"/>
    <col min="15106" max="15106" width="14.7109375" style="29" customWidth="1"/>
    <col min="15107" max="15113" width="10.7109375" style="29" customWidth="1"/>
    <col min="15114" max="15114" width="13.140625" style="29" customWidth="1"/>
    <col min="15115" max="15115" width="10.7109375" style="29" customWidth="1"/>
    <col min="15116" max="15116" width="56.5703125" style="29" bestFit="1" customWidth="1"/>
    <col min="15117" max="15360" width="11.140625" style="29"/>
    <col min="15361" max="15361" width="3.85546875" style="29" customWidth="1"/>
    <col min="15362" max="15362" width="14.7109375" style="29" customWidth="1"/>
    <col min="15363" max="15369" width="10.7109375" style="29" customWidth="1"/>
    <col min="15370" max="15370" width="13.140625" style="29" customWidth="1"/>
    <col min="15371" max="15371" width="10.7109375" style="29" customWidth="1"/>
    <col min="15372" max="15372" width="56.5703125" style="29" bestFit="1" customWidth="1"/>
    <col min="15373" max="15616" width="11.140625" style="29"/>
    <col min="15617" max="15617" width="3.85546875" style="29" customWidth="1"/>
    <col min="15618" max="15618" width="14.7109375" style="29" customWidth="1"/>
    <col min="15619" max="15625" width="10.7109375" style="29" customWidth="1"/>
    <col min="15626" max="15626" width="13.140625" style="29" customWidth="1"/>
    <col min="15627" max="15627" width="10.7109375" style="29" customWidth="1"/>
    <col min="15628" max="15628" width="56.5703125" style="29" bestFit="1" customWidth="1"/>
    <col min="15629" max="15872" width="11.140625" style="29"/>
    <col min="15873" max="15873" width="3.85546875" style="29" customWidth="1"/>
    <col min="15874" max="15874" width="14.7109375" style="29" customWidth="1"/>
    <col min="15875" max="15881" width="10.7109375" style="29" customWidth="1"/>
    <col min="15882" max="15882" width="13.140625" style="29" customWidth="1"/>
    <col min="15883" max="15883" width="10.7109375" style="29" customWidth="1"/>
    <col min="15884" max="15884" width="56.5703125" style="29" bestFit="1" customWidth="1"/>
    <col min="15885" max="16128" width="11.140625" style="29"/>
    <col min="16129" max="16129" width="3.85546875" style="29" customWidth="1"/>
    <col min="16130" max="16130" width="14.7109375" style="29" customWidth="1"/>
    <col min="16131" max="16137" width="10.7109375" style="29" customWidth="1"/>
    <col min="16138" max="16138" width="13.140625" style="29" customWidth="1"/>
    <col min="16139" max="16139" width="10.7109375" style="29" customWidth="1"/>
    <col min="16140" max="16140" width="56.5703125" style="29" bestFit="1" customWidth="1"/>
    <col min="16141" max="16384" width="11.140625" style="29"/>
  </cols>
  <sheetData>
    <row r="1" spans="1:21" s="266" customFormat="1">
      <c r="A1" s="265" t="s">
        <v>143</v>
      </c>
    </row>
    <row r="2" spans="1:21" s="266" customFormat="1"/>
    <row r="3" spans="1:21" s="267" customFormat="1">
      <c r="A3" s="267" t="s">
        <v>144</v>
      </c>
    </row>
    <row r="4" spans="1:21" s="267" customFormat="1">
      <c r="A4" s="267" t="s">
        <v>145</v>
      </c>
    </row>
    <row r="5" spans="1:21" ht="21" thickBot="1">
      <c r="A5" s="22" t="s">
        <v>0</v>
      </c>
      <c r="B5" s="23"/>
      <c r="C5" s="22"/>
      <c r="D5" s="22"/>
      <c r="E5" s="22"/>
      <c r="F5" s="22"/>
      <c r="G5" s="22"/>
      <c r="H5" s="22"/>
      <c r="I5" s="22"/>
      <c r="J5" s="22"/>
      <c r="K5" s="22"/>
      <c r="L5" s="24" t="s">
        <v>1</v>
      </c>
      <c r="M5" s="25">
        <v>0</v>
      </c>
      <c r="N5" s="25"/>
      <c r="O5" s="26" t="s">
        <v>2</v>
      </c>
      <c r="P5" s="27">
        <v>40471.769609700656</v>
      </c>
      <c r="Q5" s="28">
        <v>81345.679012345703</v>
      </c>
      <c r="R5" s="25"/>
      <c r="S5" s="25"/>
      <c r="T5" s="25"/>
      <c r="U5" s="25"/>
    </row>
    <row r="6" spans="1:21" ht="30.75" customHeight="1" thickTop="1" thickBot="1">
      <c r="A6" s="30"/>
      <c r="B6" s="31" t="s">
        <v>3</v>
      </c>
      <c r="C6" s="2"/>
      <c r="D6" s="32"/>
      <c r="E6" s="32"/>
      <c r="F6" s="33"/>
      <c r="G6" s="301"/>
      <c r="H6" s="302"/>
      <c r="I6" s="305"/>
      <c r="J6" s="306"/>
      <c r="K6" s="307"/>
      <c r="L6" s="34" t="s">
        <v>4</v>
      </c>
      <c r="M6" s="25"/>
      <c r="N6" s="25"/>
      <c r="O6" s="26" t="s">
        <v>5</v>
      </c>
      <c r="P6" s="28">
        <v>273</v>
      </c>
      <c r="Q6" s="28">
        <v>548</v>
      </c>
      <c r="R6" s="25"/>
      <c r="S6" s="25"/>
      <c r="T6" s="25"/>
      <c r="U6" s="25"/>
    </row>
    <row r="7" spans="1:21" ht="18.75" thickTop="1">
      <c r="A7" s="22"/>
      <c r="B7" s="35" t="s">
        <v>6</v>
      </c>
      <c r="C7" s="3"/>
      <c r="D7" s="36"/>
      <c r="E7" s="37"/>
      <c r="F7" s="38"/>
      <c r="G7" s="303"/>
      <c r="H7" s="304"/>
      <c r="I7" s="39" t="s">
        <v>7</v>
      </c>
      <c r="J7" s="40" t="s">
        <v>8</v>
      </c>
      <c r="K7" s="41" t="s">
        <v>9</v>
      </c>
      <c r="L7" s="42" t="s">
        <v>10</v>
      </c>
      <c r="M7" s="25">
        <v>0</v>
      </c>
      <c r="N7" s="25"/>
      <c r="O7" s="25"/>
      <c r="P7" s="25"/>
      <c r="Q7" s="25"/>
      <c r="R7" s="25"/>
      <c r="S7" s="25"/>
      <c r="T7" s="25"/>
      <c r="U7" s="25"/>
    </row>
    <row r="8" spans="1:21" ht="19.5" customHeight="1">
      <c r="A8" s="22"/>
      <c r="B8" s="35" t="s">
        <v>11</v>
      </c>
      <c r="C8" s="4"/>
      <c r="D8" s="37"/>
      <c r="E8" s="37"/>
      <c r="F8" s="38"/>
      <c r="G8" s="308" t="s">
        <v>12</v>
      </c>
      <c r="H8" s="309"/>
      <c r="I8" s="5"/>
      <c r="J8" s="6"/>
      <c r="K8" s="7"/>
      <c r="L8" s="34" t="s">
        <v>13</v>
      </c>
      <c r="M8" s="25">
        <v>175</v>
      </c>
      <c r="N8" s="25"/>
      <c r="O8" s="25"/>
      <c r="P8" s="25"/>
      <c r="Q8" s="25"/>
      <c r="R8" s="25"/>
      <c r="S8" s="25"/>
      <c r="T8" s="25"/>
      <c r="U8" s="25"/>
    </row>
    <row r="9" spans="1:21" ht="19.5" customHeight="1">
      <c r="A9" s="22"/>
      <c r="B9" s="43"/>
      <c r="C9" s="39"/>
      <c r="D9" s="44"/>
      <c r="E9" s="45"/>
      <c r="F9" s="46"/>
      <c r="G9" s="308"/>
      <c r="H9" s="309"/>
      <c r="I9" s="39" t="s">
        <v>14</v>
      </c>
      <c r="J9" s="47" t="s">
        <v>15</v>
      </c>
      <c r="K9" s="41" t="s">
        <v>16</v>
      </c>
      <c r="L9" s="310" t="s">
        <v>17</v>
      </c>
      <c r="M9" s="25"/>
      <c r="N9" s="25"/>
      <c r="O9" s="25"/>
      <c r="P9" s="25"/>
      <c r="Q9" s="25"/>
      <c r="R9" s="25"/>
      <c r="S9" s="25"/>
      <c r="T9" s="25"/>
      <c r="U9" s="25"/>
    </row>
    <row r="10" spans="1:21" ht="20.25" customHeight="1" thickBot="1">
      <c r="A10" s="22"/>
      <c r="B10" s="48"/>
      <c r="C10" s="49"/>
      <c r="D10" s="49"/>
      <c r="E10" s="50"/>
      <c r="F10" s="51"/>
      <c r="G10" s="51"/>
      <c r="H10" s="52"/>
      <c r="I10" s="8" t="str">
        <f>[1]DOUBLE!I6</f>
        <v>-</v>
      </c>
      <c r="J10" s="9" t="s">
        <v>18</v>
      </c>
      <c r="K10" s="10"/>
      <c r="L10" s="311"/>
      <c r="M10" s="25">
        <v>35</v>
      </c>
      <c r="N10" s="25"/>
      <c r="O10" s="25"/>
      <c r="P10" s="25"/>
      <c r="Q10" s="25"/>
      <c r="R10" s="25"/>
      <c r="S10" s="25"/>
      <c r="T10" s="25"/>
      <c r="U10" s="25"/>
    </row>
    <row r="11" spans="1:21" ht="20.25" customHeight="1" thickTop="1">
      <c r="A11" s="53"/>
      <c r="B11" s="54"/>
      <c r="C11" s="55"/>
      <c r="D11" s="56"/>
      <c r="E11" s="56"/>
      <c r="F11" s="57"/>
      <c r="G11" s="57"/>
      <c r="H11" s="57"/>
      <c r="I11" s="57"/>
      <c r="J11" s="57"/>
      <c r="K11" s="58"/>
      <c r="L11" s="59"/>
      <c r="M11" s="25"/>
      <c r="N11" s="25">
        <v>650</v>
      </c>
      <c r="O11" s="25"/>
      <c r="P11" s="25"/>
      <c r="Q11" s="312" t="s">
        <v>19</v>
      </c>
      <c r="R11" s="313"/>
      <c r="S11" s="313"/>
      <c r="T11" s="314"/>
      <c r="U11" s="25"/>
    </row>
    <row r="12" spans="1:21" ht="18">
      <c r="A12" s="53"/>
      <c r="B12" s="60" t="s">
        <v>20</v>
      </c>
      <c r="C12" s="61"/>
      <c r="D12" s="294" t="s">
        <v>21</v>
      </c>
      <c r="E12" s="294"/>
      <c r="F12" s="57"/>
      <c r="G12" s="57"/>
      <c r="H12" s="57"/>
      <c r="I12" s="57"/>
      <c r="J12" s="62"/>
      <c r="K12" s="58"/>
      <c r="L12" s="63"/>
      <c r="M12" s="25">
        <v>200</v>
      </c>
      <c r="N12" s="25">
        <v>0</v>
      </c>
      <c r="O12" s="25"/>
      <c r="P12" s="26" t="s">
        <v>22</v>
      </c>
      <c r="Q12" s="64">
        <v>23</v>
      </c>
      <c r="R12" s="65">
        <v>26</v>
      </c>
      <c r="S12" s="65" t="s">
        <v>23</v>
      </c>
      <c r="T12" s="66" t="s">
        <v>24</v>
      </c>
      <c r="U12" s="25"/>
    </row>
    <row r="13" spans="1:21" ht="18">
      <c r="A13" s="53"/>
      <c r="B13" s="293" t="s">
        <v>25</v>
      </c>
      <c r="C13" s="294"/>
      <c r="D13" s="67" t="s">
        <v>26</v>
      </c>
      <c r="E13" s="11">
        <v>350</v>
      </c>
      <c r="F13" s="57"/>
      <c r="G13" s="57"/>
      <c r="H13" s="57"/>
      <c r="I13" s="57"/>
      <c r="J13" s="57"/>
      <c r="K13" s="58"/>
      <c r="L13" s="68"/>
      <c r="M13" s="25"/>
      <c r="N13" s="25"/>
      <c r="O13" s="25"/>
      <c r="P13" s="26" t="s">
        <v>27</v>
      </c>
      <c r="Q13" s="69">
        <v>24</v>
      </c>
      <c r="R13" s="70">
        <v>27</v>
      </c>
      <c r="S13" s="70" t="s">
        <v>28</v>
      </c>
      <c r="T13" s="71" t="s">
        <v>29</v>
      </c>
      <c r="U13" s="25"/>
    </row>
    <row r="14" spans="1:21" ht="18">
      <c r="A14" s="53"/>
      <c r="B14" s="72" t="s">
        <v>30</v>
      </c>
      <c r="C14" s="11">
        <v>350</v>
      </c>
      <c r="D14" s="67" t="s">
        <v>31</v>
      </c>
      <c r="E14" s="11">
        <v>1300</v>
      </c>
      <c r="F14" s="57"/>
      <c r="G14" s="57"/>
      <c r="H14" s="57"/>
      <c r="I14" s="57"/>
      <c r="J14" s="57"/>
      <c r="K14" s="73"/>
      <c r="L14" s="68"/>
      <c r="M14" s="25"/>
      <c r="N14" s="25"/>
      <c r="O14" s="25"/>
      <c r="P14" s="26" t="s">
        <v>32</v>
      </c>
      <c r="Q14" s="74">
        <v>25</v>
      </c>
      <c r="R14" s="75">
        <v>28</v>
      </c>
      <c r="S14" s="75" t="s">
        <v>33</v>
      </c>
      <c r="T14" s="76" t="s">
        <v>34</v>
      </c>
      <c r="U14" s="25"/>
    </row>
    <row r="15" spans="1:21" ht="20.25">
      <c r="A15" s="53"/>
      <c r="B15" s="77" t="s">
        <v>35</v>
      </c>
      <c r="C15" s="11">
        <v>500</v>
      </c>
      <c r="D15" s="67" t="s">
        <v>36</v>
      </c>
      <c r="E15" s="11">
        <f>E14</f>
        <v>1300</v>
      </c>
      <c r="F15" s="78"/>
      <c r="G15" s="78"/>
      <c r="H15" s="79"/>
      <c r="I15" s="57"/>
      <c r="J15" s="57"/>
      <c r="K15" s="73"/>
      <c r="L15" s="80"/>
      <c r="M15" s="25"/>
      <c r="N15" s="25"/>
      <c r="O15" s="25"/>
      <c r="P15" s="25"/>
      <c r="Q15" s="25"/>
      <c r="R15" s="25"/>
      <c r="S15" s="25"/>
      <c r="T15" s="25"/>
      <c r="U15" s="25"/>
    </row>
    <row r="16" spans="1:21" ht="18">
      <c r="A16" s="53"/>
      <c r="B16" s="81"/>
      <c r="C16" s="57"/>
      <c r="D16" s="67" t="s">
        <v>37</v>
      </c>
      <c r="E16" s="11">
        <f>N11</f>
        <v>650</v>
      </c>
      <c r="F16" s="57"/>
      <c r="G16" s="57"/>
      <c r="H16" s="57"/>
      <c r="I16" s="57"/>
      <c r="J16" s="57"/>
      <c r="K16" s="58"/>
      <c r="L16" s="82"/>
      <c r="M16" s="25">
        <v>1300</v>
      </c>
      <c r="N16" s="25"/>
      <c r="O16" s="25"/>
      <c r="P16" s="25"/>
      <c r="Q16" s="25"/>
      <c r="R16" s="25"/>
      <c r="S16" s="25"/>
      <c r="T16" s="25"/>
      <c r="U16" s="25"/>
    </row>
    <row r="17" spans="1:21" ht="18">
      <c r="A17" s="53"/>
      <c r="B17" s="81"/>
      <c r="D17" s="67" t="s">
        <v>38</v>
      </c>
      <c r="E17" s="11">
        <f>N12</f>
        <v>0</v>
      </c>
      <c r="F17" s="57"/>
      <c r="G17" s="57"/>
      <c r="H17" s="57"/>
      <c r="I17" s="57"/>
      <c r="J17" s="57"/>
      <c r="K17" s="58"/>
      <c r="L17" s="83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18">
      <c r="A18" s="53"/>
      <c r="B18" s="81"/>
      <c r="D18" s="84" t="s">
        <v>39</v>
      </c>
      <c r="E18" s="11">
        <v>650</v>
      </c>
      <c r="F18" s="57"/>
      <c r="G18" s="57"/>
      <c r="H18" s="57"/>
      <c r="I18" s="57"/>
      <c r="J18" s="57"/>
      <c r="K18" s="58"/>
      <c r="L18" s="83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18.75" customHeight="1">
      <c r="A19" s="53"/>
      <c r="B19" s="85" t="s">
        <v>40</v>
      </c>
      <c r="C19" s="61">
        <f>[1]DOUBLE!C17</f>
        <v>375</v>
      </c>
      <c r="F19" s="86"/>
      <c r="K19" s="58"/>
      <c r="L19" s="83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8.75" customHeight="1">
      <c r="A20" s="53"/>
      <c r="B20" s="85"/>
      <c r="C20" s="55" t="s">
        <v>41</v>
      </c>
      <c r="D20" s="11">
        <v>1300</v>
      </c>
      <c r="F20" s="86"/>
      <c r="K20" s="58"/>
      <c r="L20" s="83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18">
      <c r="A21" s="53"/>
      <c r="B21" s="54"/>
      <c r="C21" s="87"/>
      <c r="D21" s="67"/>
      <c r="F21" s="86"/>
      <c r="K21" s="58"/>
      <c r="L21" s="59"/>
      <c r="M21" s="25"/>
      <c r="N21" s="25"/>
      <c r="O21" s="25"/>
      <c r="P21" s="25"/>
      <c r="Q21" s="25"/>
      <c r="R21" s="25"/>
      <c r="S21" s="25"/>
      <c r="T21" s="25"/>
      <c r="U21" s="25"/>
    </row>
    <row r="22" spans="1:21" ht="18">
      <c r="A22" s="53"/>
      <c r="B22" s="54"/>
      <c r="C22" s="87"/>
      <c r="D22" s="67"/>
      <c r="F22" s="86"/>
      <c r="K22" s="58"/>
      <c r="L22" s="88" t="str">
        <f>"Recommened min H = "&amp;CEILING(SQRT((E14+ABS(E17)-C15/4)^2+(MAX(E16,E14-E16)-C14/4)^2)/2.5+[1]DOUBLE!G10+16,25)&amp;" mm"</f>
        <v>Recommened min H = 625 mm</v>
      </c>
      <c r="M22" s="25"/>
      <c r="N22" s="25"/>
      <c r="O22" s="25"/>
      <c r="P22" s="25"/>
      <c r="Q22" s="25"/>
      <c r="R22" s="25"/>
      <c r="S22" s="25"/>
      <c r="T22" s="25"/>
      <c r="U22" s="25"/>
    </row>
    <row r="23" spans="1:21" ht="18">
      <c r="A23" s="53"/>
      <c r="B23" s="54"/>
      <c r="C23" s="87"/>
      <c r="D23" s="67"/>
      <c r="F23" s="86"/>
      <c r="K23" s="58"/>
      <c r="L23" s="59"/>
      <c r="M23" s="25"/>
      <c r="N23" s="25"/>
      <c r="O23" s="25"/>
      <c r="P23" s="25"/>
      <c r="Q23" s="25"/>
      <c r="R23" s="25"/>
      <c r="S23" s="25"/>
      <c r="T23" s="25"/>
      <c r="U23" s="25"/>
    </row>
    <row r="24" spans="1:21" ht="18">
      <c r="A24" s="53"/>
      <c r="B24" s="89" t="s">
        <v>42</v>
      </c>
      <c r="C24" s="57"/>
      <c r="D24" s="61"/>
      <c r="E24" s="57"/>
      <c r="F24" s="86"/>
      <c r="G24" s="90" t="s">
        <v>43</v>
      </c>
      <c r="H24" s="57"/>
      <c r="I24" s="91"/>
      <c r="J24" s="295" t="s">
        <v>44</v>
      </c>
      <c r="K24" s="296"/>
      <c r="L24" s="59"/>
      <c r="M24" s="25"/>
      <c r="N24" s="25"/>
      <c r="O24" s="25"/>
      <c r="P24" s="25"/>
      <c r="Q24" s="25"/>
      <c r="R24" s="25"/>
      <c r="S24" s="25"/>
      <c r="T24" s="25"/>
      <c r="U24" s="25"/>
    </row>
    <row r="25" spans="1:21" ht="18">
      <c r="A25" s="53"/>
      <c r="B25" s="92"/>
      <c r="C25" s="93" t="s">
        <v>45</v>
      </c>
      <c r="D25" s="93" t="s">
        <v>46</v>
      </c>
      <c r="E25" s="93" t="s">
        <v>47</v>
      </c>
      <c r="K25" s="58"/>
      <c r="L25" s="59"/>
      <c r="M25" s="25"/>
      <c r="N25" s="25"/>
      <c r="O25" s="25"/>
      <c r="P25" s="25"/>
      <c r="Q25" s="25"/>
      <c r="R25" s="25"/>
      <c r="S25" s="25"/>
      <c r="T25" s="25"/>
      <c r="U25" s="25"/>
    </row>
    <row r="26" spans="1:21" ht="18">
      <c r="A26" s="53"/>
      <c r="B26" s="85" t="s">
        <v>48</v>
      </c>
      <c r="C26" s="12">
        <v>612</v>
      </c>
      <c r="D26" s="12">
        <v>211</v>
      </c>
      <c r="E26" s="12">
        <v>23</v>
      </c>
      <c r="F26" s="57"/>
      <c r="H26" s="57"/>
      <c r="I26" s="86"/>
      <c r="K26" s="58"/>
      <c r="L26" s="59" t="str">
        <f>IF(M16&lt;D20,"PILE c/c LESS THAN MIN SPACING",".")</f>
        <v>.</v>
      </c>
      <c r="M26" s="25"/>
      <c r="N26" s="25"/>
      <c r="O26" s="25"/>
      <c r="P26" s="25"/>
      <c r="Q26" s="25"/>
      <c r="R26" s="25"/>
      <c r="S26" s="25"/>
      <c r="T26" s="25"/>
      <c r="U26" s="25"/>
    </row>
    <row r="27" spans="1:21" ht="19.5" customHeight="1">
      <c r="A27" s="53"/>
      <c r="B27" s="85" t="s">
        <v>49</v>
      </c>
      <c r="C27" s="13">
        <v>18</v>
      </c>
      <c r="D27" s="13">
        <v>5</v>
      </c>
      <c r="E27" s="13">
        <v>2</v>
      </c>
      <c r="F27" s="57"/>
      <c r="G27" s="94" t="s">
        <v>50</v>
      </c>
      <c r="H27" s="297" t="str">
        <f>IF(M44=0,"VALID DESIGN",N38&amp;N40&amp;N41&amp;N43&amp;N39)</f>
        <v>VALID DESIGN</v>
      </c>
      <c r="I27" s="297"/>
      <c r="J27" s="297"/>
      <c r="K27" s="298"/>
      <c r="L27" s="59"/>
      <c r="M27" s="25"/>
      <c r="N27" s="25"/>
      <c r="O27" s="25"/>
      <c r="P27" s="25"/>
      <c r="Q27" s="25"/>
      <c r="R27" s="25"/>
      <c r="S27" s="25"/>
      <c r="T27" s="25"/>
      <c r="U27" s="25"/>
    </row>
    <row r="28" spans="1:21" ht="18">
      <c r="A28" s="53"/>
      <c r="B28" s="85" t="s">
        <v>51</v>
      </c>
      <c r="C28" s="14">
        <v>22</v>
      </c>
      <c r="D28" s="14">
        <v>10</v>
      </c>
      <c r="E28" s="14">
        <v>5</v>
      </c>
      <c r="F28" s="95"/>
      <c r="H28" s="297"/>
      <c r="I28" s="297"/>
      <c r="J28" s="297"/>
      <c r="K28" s="298"/>
      <c r="L28" s="96" t="s">
        <v>52</v>
      </c>
      <c r="M28" s="26"/>
      <c r="N28" s="70"/>
      <c r="O28" s="70"/>
      <c r="P28" s="70"/>
      <c r="Q28" s="70"/>
      <c r="R28" s="25"/>
      <c r="S28" s="25"/>
      <c r="T28" s="25"/>
      <c r="U28" s="25"/>
    </row>
    <row r="29" spans="1:21" ht="18">
      <c r="A29" s="53"/>
      <c r="B29" s="97" t="s">
        <v>53</v>
      </c>
      <c r="C29" s="14">
        <f t="shared" ref="C29:E30" si="0">0.1*C27</f>
        <v>1.8</v>
      </c>
      <c r="D29" s="14">
        <f t="shared" si="0"/>
        <v>0.5</v>
      </c>
      <c r="E29" s="14">
        <f t="shared" si="0"/>
        <v>0.2</v>
      </c>
      <c r="F29" s="95"/>
      <c r="K29" s="98"/>
      <c r="L29" s="83"/>
      <c r="M29" s="25"/>
      <c r="N29" s="25"/>
      <c r="O29" s="25"/>
      <c r="P29" s="25"/>
      <c r="Q29" s="25"/>
      <c r="R29" s="25"/>
      <c r="S29" s="25"/>
      <c r="T29" s="25"/>
      <c r="U29" s="25"/>
    </row>
    <row r="30" spans="1:21" ht="18">
      <c r="A30" s="53"/>
      <c r="B30" s="97" t="s">
        <v>54</v>
      </c>
      <c r="C30" s="15">
        <f t="shared" si="0"/>
        <v>2.2000000000000002</v>
      </c>
      <c r="D30" s="15">
        <f t="shared" si="0"/>
        <v>1</v>
      </c>
      <c r="E30" s="15">
        <f t="shared" si="0"/>
        <v>0.5</v>
      </c>
      <c r="F30" s="95"/>
      <c r="K30" s="98"/>
      <c r="L30" s="96" t="s">
        <v>55</v>
      </c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8">
      <c r="A31" s="53"/>
      <c r="B31" s="85"/>
      <c r="F31" s="95"/>
      <c r="K31" s="98"/>
      <c r="L31" s="96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8">
      <c r="A32" s="53"/>
      <c r="B32" s="99" t="s">
        <v>56</v>
      </c>
      <c r="E32" s="57"/>
      <c r="F32" s="57"/>
      <c r="G32" s="57"/>
      <c r="H32" s="57"/>
      <c r="I32" s="100"/>
      <c r="J32" s="100"/>
      <c r="K32" s="98"/>
      <c r="L32" s="96" t="s">
        <v>57</v>
      </c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8">
      <c r="A33" s="53"/>
      <c r="B33" s="85"/>
      <c r="C33" s="16"/>
      <c r="D33" s="101"/>
      <c r="E33" s="93" t="s">
        <v>58</v>
      </c>
      <c r="F33" s="93" t="s">
        <v>59</v>
      </c>
      <c r="G33" s="93" t="s">
        <v>60</v>
      </c>
      <c r="H33" s="93" t="s">
        <v>61</v>
      </c>
      <c r="I33" s="93" t="s">
        <v>62</v>
      </c>
      <c r="J33" s="93" t="s">
        <v>63</v>
      </c>
      <c r="K33" s="98"/>
      <c r="L33" s="96" t="s">
        <v>64</v>
      </c>
      <c r="M33" s="25" t="s">
        <v>65</v>
      </c>
      <c r="N33" s="25"/>
      <c r="O33" s="25"/>
      <c r="P33" s="25"/>
      <c r="Q33" s="25"/>
      <c r="R33" s="25"/>
      <c r="S33" s="25"/>
      <c r="T33" s="25"/>
      <c r="U33" s="25"/>
    </row>
    <row r="34" spans="1:21" ht="18">
      <c r="A34" s="53"/>
      <c r="B34" s="85"/>
      <c r="C34" s="16"/>
      <c r="D34" s="67" t="s">
        <v>66</v>
      </c>
      <c r="E34" s="102">
        <f t="shared" ref="E34:J35" si="1">C67</f>
        <v>141.20605128205128</v>
      </c>
      <c r="F34" s="103">
        <f t="shared" si="1"/>
        <v>153.76758974358975</v>
      </c>
      <c r="G34" s="103">
        <f t="shared" si="1"/>
        <v>147.75989743589744</v>
      </c>
      <c r="H34" s="104">
        <f t="shared" si="1"/>
        <v>160.32143589743592</v>
      </c>
      <c r="I34" s="104">
        <f t="shared" si="1"/>
        <v>154.31374358974361</v>
      </c>
      <c r="J34" s="104">
        <f t="shared" si="1"/>
        <v>166.87528205128208</v>
      </c>
      <c r="K34" s="98"/>
      <c r="L34" s="83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8">
      <c r="A35" s="53"/>
      <c r="B35" s="85"/>
      <c r="C35" s="16"/>
      <c r="D35" s="85" t="s">
        <v>67</v>
      </c>
      <c r="E35" s="105">
        <f t="shared" si="1"/>
        <v>144.23585897435896</v>
      </c>
      <c r="F35" s="106">
        <f t="shared" si="1"/>
        <v>157.88970512820515</v>
      </c>
      <c r="G35" s="106">
        <f t="shared" si="1"/>
        <v>151.81374358974358</v>
      </c>
      <c r="H35" s="106">
        <f t="shared" si="1"/>
        <v>165.46758974358977</v>
      </c>
      <c r="I35" s="106">
        <f t="shared" si="1"/>
        <v>159.3916282051282</v>
      </c>
      <c r="J35" s="106">
        <f t="shared" si="1"/>
        <v>173.04547435897439</v>
      </c>
      <c r="K35" s="98"/>
      <c r="L35" s="83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8">
      <c r="A36" s="53"/>
      <c r="B36" s="85"/>
      <c r="C36" s="16"/>
      <c r="D36" s="67"/>
      <c r="E36" s="100"/>
      <c r="F36" s="100"/>
      <c r="G36" s="100"/>
      <c r="H36" s="100"/>
      <c r="I36" s="100"/>
      <c r="J36" s="100"/>
      <c r="K36" s="98"/>
      <c r="L36" s="83"/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6.5">
      <c r="A37" s="53"/>
      <c r="B37" s="107" t="s">
        <v>68</v>
      </c>
      <c r="C37" s="57"/>
      <c r="D37" s="57"/>
      <c r="E37" s="57"/>
      <c r="F37" s="57"/>
      <c r="K37" s="58"/>
      <c r="L37" s="83"/>
      <c r="M37" s="108">
        <v>0</v>
      </c>
      <c r="N37" s="108"/>
      <c r="O37" s="25"/>
      <c r="P37" s="25"/>
      <c r="Q37" s="25"/>
      <c r="R37" s="25"/>
      <c r="S37" s="25"/>
      <c r="T37" s="25"/>
      <c r="U37" s="25"/>
    </row>
    <row r="38" spans="1:21" ht="18">
      <c r="A38" s="53"/>
      <c r="B38" s="109" t="s">
        <v>69</v>
      </c>
      <c r="C38" s="110" t="str">
        <f>"M = "&amp;FIXED(C82,1)&amp;" kNm,    b = "&amp;FIXED(C83,0)&amp;" mm"</f>
        <v>M = 296.6 kNm,    b = 3,300 mm</v>
      </c>
      <c r="F38" s="57"/>
      <c r="G38" s="111"/>
      <c r="H38" s="111"/>
      <c r="I38" s="111"/>
      <c r="J38" s="111"/>
      <c r="K38" s="58"/>
      <c r="L38" s="112" t="str">
        <f>IF(M37+M38&gt;0,"PILE CAPACITY EXCEEDED",".")</f>
        <v>.</v>
      </c>
      <c r="M38" s="108">
        <v>0</v>
      </c>
      <c r="N38" s="113" t="s">
        <v>70</v>
      </c>
      <c r="O38" s="25"/>
      <c r="P38" s="25"/>
      <c r="Q38" s="25"/>
      <c r="R38" s="25"/>
      <c r="S38" s="25"/>
      <c r="T38" s="25"/>
      <c r="U38" s="25"/>
    </row>
    <row r="39" spans="1:21" ht="18">
      <c r="A39" s="53"/>
      <c r="B39" s="114"/>
      <c r="C39" s="61" t="str">
        <f>"d = "&amp;FIXED(C84,1)&amp;" mm,    As = "&amp;FIXED(C87,0)&amp;" mm²"</f>
        <v>d = 551.0 mm,    As = 1,293 mm²</v>
      </c>
      <c r="D39" s="111"/>
      <c r="E39" s="111"/>
      <c r="G39" s="111"/>
      <c r="H39" s="115" t="str">
        <f>E101&amp;M33&amp;D81&amp;S13&amp;"T"&amp;M78</f>
        <v>14 T12 24 T2</v>
      </c>
      <c r="I39" s="116"/>
      <c r="J39" s="116"/>
      <c r="K39" s="58"/>
      <c r="L39" s="112" t="str">
        <f>IF(M39&gt;0,"PILE IN TENSION",".")</f>
        <v>.</v>
      </c>
      <c r="M39" s="117">
        <v>0</v>
      </c>
      <c r="N39" s="113" t="s">
        <v>70</v>
      </c>
      <c r="O39" s="25"/>
      <c r="P39" s="25"/>
      <c r="Q39" s="25"/>
      <c r="R39" s="25"/>
      <c r="S39" s="25"/>
      <c r="T39" s="25"/>
      <c r="U39" s="25"/>
    </row>
    <row r="40" spans="1:21" ht="18">
      <c r="A40" s="53"/>
      <c r="B40" s="114"/>
      <c r="C40" s="118"/>
      <c r="D40" s="119" t="str">
        <f>C95</f>
        <v>14 T16 B2</v>
      </c>
      <c r="E40" s="120" t="str">
        <f>" = "&amp;FIXED(C90,0)&amp;" mm²"</f>
        <v xml:space="preserve"> = 2,815 mm²</v>
      </c>
      <c r="F40" s="111"/>
      <c r="G40" s="57"/>
      <c r="H40" s="121"/>
      <c r="I40" s="121"/>
      <c r="J40" s="121"/>
      <c r="K40" s="58"/>
      <c r="L40" s="112" t="str">
        <f>IF(M40=0,".","v &gt; vmax")</f>
        <v>.</v>
      </c>
      <c r="M40" s="117">
        <v>0</v>
      </c>
      <c r="N40" s="113" t="s">
        <v>70</v>
      </c>
      <c r="O40" s="25"/>
      <c r="P40" s="25"/>
      <c r="Q40" s="25"/>
      <c r="R40" s="25"/>
      <c r="S40" s="25"/>
      <c r="T40" s="25"/>
      <c r="U40" s="25"/>
    </row>
    <row r="41" spans="1:21" ht="16.5">
      <c r="A41" s="53"/>
      <c r="B41" s="114"/>
      <c r="C41" s="122"/>
      <c r="D41" s="123"/>
      <c r="E41" s="123"/>
      <c r="F41" s="123"/>
      <c r="H41" s="121"/>
      <c r="I41" s="121"/>
      <c r="J41" s="121"/>
      <c r="K41" s="58"/>
      <c r="L41" s="124"/>
      <c r="M41" s="117">
        <v>0</v>
      </c>
      <c r="N41" s="125" t="s">
        <v>70</v>
      </c>
      <c r="O41" s="126"/>
      <c r="P41" s="126"/>
      <c r="Q41" s="126"/>
      <c r="R41" s="126"/>
      <c r="S41" s="126"/>
      <c r="T41" s="25"/>
      <c r="U41" s="25"/>
    </row>
    <row r="42" spans="1:21" ht="18">
      <c r="A42" s="53"/>
      <c r="B42" s="114"/>
      <c r="C42" s="110" t="str">
        <f>"V = "&amp;FIXED(C99,1)&amp;" kN,     bv = "&amp;FIXED(C83,0)&amp;" mm"</f>
        <v>V = 624.4 kN,     bv = 3,300 mm</v>
      </c>
      <c r="H42" s="127"/>
      <c r="I42" s="128" t="str">
        <f>C89&amp;M33&amp;C81&amp;S12&amp;"B"&amp;M78</f>
        <v>14 T16 23 B2</v>
      </c>
      <c r="J42" s="128"/>
      <c r="K42" s="58"/>
      <c r="L42" s="112" t="str">
        <f>L92</f>
        <v>.</v>
      </c>
      <c r="M42" s="108">
        <v>0</v>
      </c>
      <c r="N42" s="113"/>
      <c r="O42" s="25"/>
      <c r="P42" s="25"/>
      <c r="Q42" s="25"/>
      <c r="R42" s="25"/>
      <c r="S42" s="25"/>
      <c r="T42" s="25"/>
      <c r="U42" s="25"/>
    </row>
    <row r="43" spans="1:21" ht="18">
      <c r="A43" s="53"/>
      <c r="B43" s="114"/>
      <c r="C43" s="129" t="str">
        <f>"v = "&amp;FIXED(E99,3)&amp;" N/mm²,   (v-vc)b = "&amp;FIXED(G100,0)&amp;" N/mm"</f>
        <v>v = 0.343 N/mm²,   (v-vc)b = 1,320 N/mm</v>
      </c>
      <c r="H43" s="127"/>
      <c r="I43" s="130" t="str">
        <f>IF(M78=1,E105&amp;" Link Legs","Links "&amp;E101&amp;"x"&amp;[1]Graf!Q159&amp;M33&amp;D98&amp;S14&amp;G101)</f>
        <v>Links 14x6 T10 25 350</v>
      </c>
      <c r="J43" s="131"/>
      <c r="K43" s="58"/>
      <c r="L43" s="132"/>
      <c r="M43" s="117">
        <v>0</v>
      </c>
      <c r="N43" s="113" t="s">
        <v>70</v>
      </c>
      <c r="O43" s="25"/>
      <c r="P43" s="25"/>
      <c r="Q43" s="25"/>
      <c r="R43" s="25"/>
      <c r="S43" s="25"/>
      <c r="T43" s="25"/>
      <c r="U43" s="25"/>
    </row>
    <row r="44" spans="1:21" ht="18">
      <c r="A44" s="53"/>
      <c r="B44" s="114"/>
      <c r="D44" s="119" t="str">
        <f>H101</f>
        <v>14 Legs T10 @ 350 LINKS</v>
      </c>
      <c r="E44" s="120" t="str">
        <f>" = "&amp;FIXED(M99,0)&amp;" N/mm"</f>
        <v xml:space="preserve"> = 1,376 N/mm</v>
      </c>
      <c r="H44" s="299" t="s">
        <v>71</v>
      </c>
      <c r="I44" s="300"/>
      <c r="J44" s="300"/>
      <c r="K44" s="58"/>
      <c r="L44" s="132"/>
      <c r="M44" s="133">
        <v>0</v>
      </c>
      <c r="N44" s="28"/>
      <c r="O44" s="25"/>
      <c r="P44" s="25"/>
      <c r="Q44" s="25"/>
      <c r="R44" s="25"/>
      <c r="S44" s="25"/>
      <c r="T44" s="25"/>
      <c r="U44" s="25"/>
    </row>
    <row r="45" spans="1:21" ht="18">
      <c r="A45" s="53"/>
      <c r="B45" s="114"/>
      <c r="K45" s="58"/>
      <c r="L45" s="134"/>
      <c r="M45" s="117"/>
      <c r="N45" s="28"/>
      <c r="O45" s="25"/>
      <c r="P45" s="25"/>
      <c r="Q45" s="25"/>
      <c r="R45" s="25"/>
      <c r="S45" s="25"/>
      <c r="T45" s="25"/>
      <c r="U45" s="25"/>
    </row>
    <row r="46" spans="1:21" ht="18">
      <c r="A46" s="53"/>
      <c r="B46" s="109" t="s">
        <v>72</v>
      </c>
      <c r="C46" s="135" t="str">
        <f>"M = "&amp;FIXED(G82,1)&amp;" kNm,    b = "&amp;FIXED(G83,0)&amp;" mm"</f>
        <v>M = 438.2 kNm,    b = 2,000 mm</v>
      </c>
      <c r="D46" s="111"/>
      <c r="E46" s="111"/>
      <c r="F46" s="111"/>
      <c r="G46" s="111"/>
      <c r="H46" s="111"/>
      <c r="I46" s="111"/>
      <c r="J46" s="111"/>
      <c r="K46" s="58"/>
      <c r="L46" s="134"/>
      <c r="M46" s="25"/>
      <c r="N46" s="28"/>
      <c r="O46" s="25"/>
      <c r="P46" s="25"/>
      <c r="Q46" s="25"/>
      <c r="R46" s="25"/>
      <c r="S46" s="25"/>
      <c r="T46" s="25"/>
      <c r="U46" s="25"/>
    </row>
    <row r="47" spans="1:21" ht="18">
      <c r="A47" s="53"/>
      <c r="B47" s="85"/>
      <c r="C47" s="61" t="str">
        <f>"d = "&amp;FIXED(G84,1)&amp;" mm,    As = "&amp;FIXED(G87,0)&amp;" mm²"</f>
        <v>d = 567.0 mm,    As = 1,857 mm²</v>
      </c>
      <c r="D47" s="111"/>
      <c r="E47" s="111"/>
      <c r="F47" s="111"/>
      <c r="G47" s="111"/>
      <c r="H47" s="115" t="str">
        <f>H89&amp;M33&amp;H81&amp;T13&amp;"T"&amp;M79</f>
        <v>10 T12 27 T1</v>
      </c>
      <c r="I47" s="116"/>
      <c r="J47" s="116"/>
      <c r="K47" s="58"/>
      <c r="L47" s="134"/>
      <c r="M47" s="117"/>
      <c r="N47" s="28"/>
      <c r="O47" s="25"/>
      <c r="P47" s="25"/>
      <c r="Q47" s="25"/>
      <c r="R47" s="25"/>
      <c r="S47" s="25"/>
      <c r="T47" s="25"/>
      <c r="U47" s="25"/>
    </row>
    <row r="48" spans="1:21" ht="18">
      <c r="A48" s="53"/>
      <c r="B48" s="85"/>
      <c r="C48" s="111"/>
      <c r="D48" s="119" t="str">
        <f>G95</f>
        <v>10 T16 B1</v>
      </c>
      <c r="E48" s="120" t="str">
        <f>" = "&amp;FIXED(G90,0)&amp;" mm²"</f>
        <v xml:space="preserve"> = 2,011 mm²</v>
      </c>
      <c r="F48" s="111"/>
      <c r="G48" s="57"/>
      <c r="H48" s="121"/>
      <c r="I48" s="121"/>
      <c r="J48" s="121"/>
      <c r="K48" s="58"/>
      <c r="L48" s="134"/>
      <c r="M48" s="26"/>
      <c r="N48" s="28"/>
      <c r="O48" s="25"/>
      <c r="P48" s="25"/>
      <c r="Q48" s="25"/>
      <c r="R48" s="25"/>
      <c r="S48" s="25"/>
      <c r="T48" s="25"/>
      <c r="U48" s="25"/>
    </row>
    <row r="49" spans="1:21" ht="16.5">
      <c r="A49" s="53"/>
      <c r="B49" s="136"/>
      <c r="C49" s="122"/>
      <c r="D49" s="57"/>
      <c r="E49" s="137"/>
      <c r="F49" s="123"/>
      <c r="H49" s="121"/>
      <c r="I49" s="121"/>
      <c r="J49" s="121"/>
      <c r="K49" s="58"/>
      <c r="L49" s="138"/>
      <c r="M49" s="126"/>
      <c r="N49" s="126"/>
      <c r="O49" s="126"/>
      <c r="P49" s="126"/>
      <c r="Q49" s="126"/>
      <c r="R49" s="126"/>
      <c r="S49" s="126"/>
      <c r="T49" s="25"/>
      <c r="U49" s="25"/>
    </row>
    <row r="50" spans="1:21" ht="18">
      <c r="A50" s="53"/>
      <c r="B50" s="139"/>
      <c r="C50" s="110" t="str">
        <f>"V = "&amp;FIXED(C103,1)&amp;" kN,     bv = "&amp;FIXED(G83,0)&amp;" mm"</f>
        <v>V = 417.3 kN,     bv = 2,000 mm</v>
      </c>
      <c r="H50" s="127"/>
      <c r="I50" s="128" t="str">
        <f>G89&amp;M33&amp;G81&amp;T12&amp;"B"&amp;M79</f>
        <v>10 T16 26 B1</v>
      </c>
      <c r="J50" s="128"/>
      <c r="K50" s="58"/>
      <c r="L50" s="83"/>
    </row>
    <row r="51" spans="1:21" ht="18">
      <c r="A51" s="53"/>
      <c r="B51" s="139"/>
      <c r="C51" s="129" t="str">
        <f>"v = "&amp;FIXED(E103,3)&amp;" N/mm²,   (v-vc)b = "&amp;FIXED(G104,0)&amp;" N/mm"</f>
        <v>v = 0.368 N/mm²,   (v-vc)b = 800 N/mm</v>
      </c>
      <c r="H51" s="127"/>
      <c r="I51" s="130" t="str">
        <f>IF(M78=2,E101&amp;" Link Legs","Links "&amp;E105&amp;"x"&amp;[1]Graf!Q170&amp;M33&amp;D98&amp;T14&amp;G105)</f>
        <v>14 Link Legs</v>
      </c>
      <c r="J51" s="131"/>
      <c r="K51" s="58"/>
      <c r="L51" s="83"/>
    </row>
    <row r="52" spans="1:21" ht="18">
      <c r="A52" s="53"/>
      <c r="B52" s="85"/>
      <c r="D52" s="140" t="str">
        <f>H105</f>
        <v>10 Legs T10 @ 425 LINKS</v>
      </c>
      <c r="E52" s="120" t="str">
        <f>" = "&amp;FIXED(M103,0)&amp;" N/mm"</f>
        <v xml:space="preserve"> = 810 N/mm</v>
      </c>
      <c r="F52" s="95"/>
      <c r="G52" s="57"/>
      <c r="H52" s="299" t="s">
        <v>73</v>
      </c>
      <c r="I52" s="300"/>
      <c r="J52" s="300"/>
      <c r="K52" s="58"/>
      <c r="L52" s="141" t="str">
        <f>CEILING([1]SCHEDULE!W36,1)&amp;" kg per cap"</f>
        <v>192 kg per cap</v>
      </c>
    </row>
    <row r="53" spans="1:21" ht="15.75" thickBot="1">
      <c r="A53" s="142"/>
      <c r="B53" s="143"/>
      <c r="C53" s="144"/>
      <c r="D53" s="145"/>
      <c r="E53" s="146"/>
      <c r="F53" s="146"/>
      <c r="G53" s="147"/>
      <c r="H53" s="144"/>
      <c r="I53" s="145"/>
      <c r="J53" s="146"/>
      <c r="K53" s="148"/>
      <c r="L53" s="149"/>
      <c r="M53" s="150"/>
      <c r="N53" s="150"/>
      <c r="O53" s="150"/>
      <c r="P53" s="150"/>
      <c r="Q53" s="150"/>
      <c r="R53" s="150"/>
      <c r="S53" s="150"/>
    </row>
    <row r="54" spans="1:21" ht="17.25" thickTop="1" thickBot="1">
      <c r="A54" s="53"/>
      <c r="B54" s="151"/>
      <c r="C54" s="53"/>
      <c r="D54" s="53"/>
      <c r="E54" s="53"/>
      <c r="F54" s="53"/>
      <c r="G54" s="53"/>
      <c r="H54" s="53"/>
      <c r="I54" s="53"/>
      <c r="J54" s="53"/>
      <c r="K54" s="152"/>
      <c r="L54" s="153"/>
    </row>
    <row r="55" spans="1:21" ht="33" customHeight="1" thickTop="1" thickBot="1">
      <c r="A55" s="30"/>
      <c r="B55" s="31" t="s">
        <v>3</v>
      </c>
      <c r="C55" s="154">
        <f>C6</f>
        <v>0</v>
      </c>
      <c r="D55" s="32"/>
      <c r="E55" s="32"/>
      <c r="F55" s="33"/>
      <c r="G55" s="301"/>
      <c r="H55" s="302"/>
      <c r="I55" s="305">
        <f>I6</f>
        <v>0</v>
      </c>
      <c r="J55" s="306">
        <f>J6</f>
        <v>0</v>
      </c>
      <c r="K55" s="307">
        <f>K6</f>
        <v>0</v>
      </c>
      <c r="L55" s="155"/>
    </row>
    <row r="56" spans="1:21" ht="18.75" thickTop="1">
      <c r="A56" s="22"/>
      <c r="B56" s="35" t="s">
        <v>6</v>
      </c>
      <c r="C56" s="156">
        <f>C7</f>
        <v>0</v>
      </c>
      <c r="D56" s="36"/>
      <c r="E56" s="37"/>
      <c r="F56" s="38"/>
      <c r="G56" s="303"/>
      <c r="H56" s="304"/>
      <c r="I56" s="39" t="s">
        <v>7</v>
      </c>
      <c r="J56" s="40" t="s">
        <v>8</v>
      </c>
      <c r="K56" s="41" t="s">
        <v>9</v>
      </c>
      <c r="L56" s="155"/>
    </row>
    <row r="57" spans="1:21" ht="19.5" customHeight="1">
      <c r="A57" s="22"/>
      <c r="B57" s="35" t="s">
        <v>11</v>
      </c>
      <c r="C57" s="157">
        <f>C8</f>
        <v>0</v>
      </c>
      <c r="D57" s="37"/>
      <c r="E57" s="37"/>
      <c r="F57" s="38"/>
      <c r="G57" s="286" t="str">
        <f>G8</f>
        <v>6 Pile Cap</v>
      </c>
      <c r="H57" s="287">
        <f>H8</f>
        <v>0</v>
      </c>
      <c r="I57" s="158"/>
      <c r="J57" s="159"/>
      <c r="K57" s="160"/>
      <c r="L57" s="155"/>
    </row>
    <row r="58" spans="1:21" ht="18">
      <c r="A58" s="22"/>
      <c r="B58" s="43"/>
      <c r="C58" s="39">
        <f>C9</f>
        <v>0</v>
      </c>
      <c r="D58" s="44"/>
      <c r="E58" s="45"/>
      <c r="F58" s="46"/>
      <c r="G58" s="288">
        <f>G9</f>
        <v>0</v>
      </c>
      <c r="H58" s="287">
        <f>H9</f>
        <v>0</v>
      </c>
      <c r="I58" s="39" t="s">
        <v>14</v>
      </c>
      <c r="J58" s="47" t="s">
        <v>15</v>
      </c>
      <c r="K58" s="41" t="s">
        <v>16</v>
      </c>
      <c r="L58" s="155"/>
    </row>
    <row r="59" spans="1:21" ht="18.75" thickBot="1">
      <c r="A59" s="22"/>
      <c r="B59" s="48"/>
      <c r="C59" s="49">
        <f>C10</f>
        <v>0</v>
      </c>
      <c r="D59" s="49"/>
      <c r="E59" s="50"/>
      <c r="F59" s="51"/>
      <c r="G59" s="51"/>
      <c r="H59" s="52"/>
      <c r="I59" s="161" t="str">
        <f>I10</f>
        <v>-</v>
      </c>
      <c r="J59" s="162" t="str">
        <f>J10</f>
        <v>-</v>
      </c>
      <c r="K59" s="163"/>
      <c r="L59" s="155"/>
    </row>
    <row r="60" spans="1:21" ht="16.5" thickTop="1">
      <c r="A60" s="53"/>
      <c r="B60" s="164"/>
      <c r="C60" s="165"/>
      <c r="D60" s="166"/>
      <c r="E60" s="166"/>
      <c r="F60" s="167"/>
      <c r="G60" s="167"/>
      <c r="H60" s="167"/>
      <c r="I60" s="167"/>
      <c r="J60" s="167"/>
      <c r="K60" s="168"/>
      <c r="L60" s="155"/>
    </row>
    <row r="61" spans="1:21" ht="15.75">
      <c r="A61" s="53"/>
      <c r="B61" s="114" t="s">
        <v>74</v>
      </c>
      <c r="C61" s="169">
        <f>[1]DOUBLE!J10*(2*E13+E14)*2*(E13+E15)*E18/1000000000</f>
        <v>101.244</v>
      </c>
      <c r="D61" s="170" t="s">
        <v>75</v>
      </c>
      <c r="F61" s="171"/>
      <c r="G61" s="172" t="s">
        <v>76</v>
      </c>
      <c r="H61" s="173"/>
      <c r="I61" s="173"/>
      <c r="J61" s="174"/>
      <c r="K61" s="175"/>
      <c r="L61" s="155"/>
    </row>
    <row r="62" spans="1:21" ht="15.75">
      <c r="A62" s="53"/>
      <c r="B62" s="176"/>
      <c r="F62" s="174"/>
      <c r="G62" s="177"/>
      <c r="H62" s="178" t="s">
        <v>45</v>
      </c>
      <c r="I62" s="179" t="s">
        <v>46</v>
      </c>
      <c r="J62" s="180" t="s">
        <v>47</v>
      </c>
      <c r="K62" s="175"/>
      <c r="L62" s="155"/>
    </row>
    <row r="63" spans="1:21" ht="15.75">
      <c r="A63" s="53"/>
      <c r="B63" s="176"/>
      <c r="G63" s="177" t="s">
        <v>77</v>
      </c>
      <c r="H63" s="181">
        <f>C27+C29*$E18/1000+C26*($E16-$E14/2)/1000</f>
        <v>19.170000000000002</v>
      </c>
      <c r="I63" s="182">
        <f>D27+D29*$E18/1000+D26*($E16-$E14/2)/1000</f>
        <v>5.3250000000000002</v>
      </c>
      <c r="J63" s="183">
        <f>E27+E29*$E18/1000+E26*($E16-$E14/2)/1000</f>
        <v>2.13</v>
      </c>
      <c r="K63" s="175"/>
      <c r="L63" s="184"/>
    </row>
    <row r="64" spans="1:21" ht="15.75">
      <c r="A64" s="53"/>
      <c r="B64" s="176"/>
      <c r="G64" s="177" t="s">
        <v>78</v>
      </c>
      <c r="H64" s="181">
        <f>C28+(C30*$E18+C26*$E17)/1000</f>
        <v>23.43</v>
      </c>
      <c r="I64" s="182">
        <f>D28+(D30*$E18+D26*$E17)/1000</f>
        <v>10.65</v>
      </c>
      <c r="J64" s="183">
        <f>E28+(E30*$E18+E26*$E17)/1000</f>
        <v>5.3250000000000002</v>
      </c>
      <c r="K64" s="175"/>
      <c r="L64" s="184"/>
    </row>
    <row r="65" spans="1:19" ht="15.75">
      <c r="A65" s="53"/>
      <c r="B65" s="185" t="s">
        <v>79</v>
      </c>
      <c r="C65" s="186"/>
      <c r="D65" s="186"/>
      <c r="E65" s="186"/>
      <c r="F65" s="174"/>
      <c r="K65" s="175"/>
      <c r="L65" s="155"/>
    </row>
    <row r="66" spans="1:19" ht="15.75">
      <c r="A66" s="53"/>
      <c r="B66" s="187"/>
      <c r="C66" s="178" t="s">
        <v>58</v>
      </c>
      <c r="D66" s="179" t="s">
        <v>59</v>
      </c>
      <c r="E66" s="179" t="s">
        <v>60</v>
      </c>
      <c r="F66" s="179" t="s">
        <v>61</v>
      </c>
      <c r="G66" s="179" t="s">
        <v>62</v>
      </c>
      <c r="H66" s="180" t="s">
        <v>63</v>
      </c>
      <c r="K66" s="175"/>
      <c r="L66" s="155"/>
    </row>
    <row r="67" spans="1:19" ht="15.75">
      <c r="A67" s="53"/>
      <c r="B67" s="187" t="s">
        <v>80</v>
      </c>
      <c r="C67" s="188">
        <f>(C26+D26+C61)/6-250*(H64+I64)/E15-1000*(H63+I63)/E14/3</f>
        <v>141.20605128205128</v>
      </c>
      <c r="D67" s="189">
        <f>(C26+D26+C61)/6-250*(H64+I64)/E15+1000*(H63+I63)/E14/3</f>
        <v>153.76758974358975</v>
      </c>
      <c r="E67" s="189">
        <f>(C26+D26+C61)/6-1000*(H63+I63)/E14/3</f>
        <v>147.75989743589744</v>
      </c>
      <c r="F67" s="189">
        <f>(C26+D26+C61)/6+1000*(H63+I63)/E14/3</f>
        <v>160.32143589743592</v>
      </c>
      <c r="G67" s="189">
        <f>(C26+D26+C61)/6+250*(H64+I64)/E15-1000*(H63+I63)/E14/3</f>
        <v>154.31374358974361</v>
      </c>
      <c r="H67" s="190">
        <f>(C26+D26+C61)/6+250*(H64+I64)/E15+1000*(H63+I63)/E14/3</f>
        <v>166.87528205128208</v>
      </c>
      <c r="I67" s="191" t="str">
        <f>IF(MAX(C67:H67)&gt;[1]DOUBLE!D10,"PILE CAPACITY EXCEEDED",".")</f>
        <v>.</v>
      </c>
      <c r="K67" s="175"/>
      <c r="L67" s="155"/>
    </row>
    <row r="68" spans="1:19" ht="15.75">
      <c r="A68" s="53"/>
      <c r="B68" s="187" t="s">
        <v>81</v>
      </c>
      <c r="C68" s="192">
        <f>C67-250*J64/E15+E26/5-1000*J63/E14/3</f>
        <v>144.23585897435896</v>
      </c>
      <c r="D68" s="193">
        <f>D67-250*J64/E15+E26/5+1000*J63/E14/3</f>
        <v>157.88970512820515</v>
      </c>
      <c r="E68" s="193">
        <f>E67+E26/5-1000*J63/E14/3</f>
        <v>151.81374358974358</v>
      </c>
      <c r="F68" s="193">
        <f>F67+E26/5+1000*J63/E14/3</f>
        <v>165.46758974358977</v>
      </c>
      <c r="G68" s="193">
        <f>G67+250*J64/E15+E26/5-1000*J63/E14/3</f>
        <v>159.3916282051282</v>
      </c>
      <c r="H68" s="194">
        <f>H67+250*J64/E15+E26/5+1000*J63/E14/3</f>
        <v>173.04547435897439</v>
      </c>
      <c r="I68" s="191" t="str">
        <f>IF(MAX(C68:H68)&gt;1.25*[1]DOUBLE!D10,"&gt; 1.25 x PILE CAPACITY",".")</f>
        <v>.</v>
      </c>
      <c r="K68" s="175"/>
      <c r="L68" s="155"/>
    </row>
    <row r="69" spans="1:19" ht="15.75">
      <c r="A69" s="53"/>
      <c r="B69" s="187" t="s">
        <v>82</v>
      </c>
      <c r="C69" s="192">
        <f>(1.4*C26+1.6*D26)/6-250*(1.4*H64+1.6*I64)/E15-1000*(1.4*H63+1.6*I63)/E14/3</f>
        <v>180.41551282051284</v>
      </c>
      <c r="D69" s="193">
        <f>(1.4*C26+1.6*D26)/6-250*(1.4*H64+1.6*I64)/E15+1000*(1.4*H63+1.6*I63)/E14/3</f>
        <v>198.54782051282052</v>
      </c>
      <c r="E69" s="193">
        <f>(1.4*C26+1.6*D26)/6-1000*(1.4*H63+1.6*I63)/E14/3</f>
        <v>190.00051282051285</v>
      </c>
      <c r="F69" s="193">
        <f>(1.4*C26+1.6*D26)/6+1000*(1.4*H63+1.6*I63)/E14/3</f>
        <v>208.13282051282053</v>
      </c>
      <c r="G69" s="193">
        <f>(1.4*C26+1.6*D26)/6+250*(1.4*H64+1.6*I64)/E15-1000*(1.4*H63+1.6*I63)/E14/3</f>
        <v>199.58551282051286</v>
      </c>
      <c r="H69" s="194">
        <f>(1.4*C26+1.6*D26)/6+250*(1.4*H64+1.6*I64)/E15+1000*(1.4*H63+1.6*I63)/E14/3</f>
        <v>217.71782051282054</v>
      </c>
      <c r="I69" s="195"/>
      <c r="J69" s="196"/>
      <c r="K69" s="175"/>
      <c r="L69" s="155"/>
    </row>
    <row r="70" spans="1:19" ht="15.75">
      <c r="A70" s="53"/>
      <c r="B70" s="187" t="s">
        <v>83</v>
      </c>
      <c r="C70" s="192">
        <f>(C26+1.4*E26)/6-250*(H64+1.4*J64)/E15-1000*(H63+1.4*J63)/E14/3</f>
        <v>95.74724358974359</v>
      </c>
      <c r="D70" s="193">
        <f>(C26+1.4*E26)/6-250*(H64+1.4*J64)/E15+1000*(H63+1.4*J63)/E14/3</f>
        <v>107.1072435897436</v>
      </c>
      <c r="E70" s="193">
        <f>(C26+1.4*E26)/6-1000*(H63+1.4*J63)/E14/3</f>
        <v>101.68666666666667</v>
      </c>
      <c r="F70" s="193">
        <f>(C26+1.4*E26)/6+1000*(H63+1.4*J63)/E14/3</f>
        <v>113.04666666666668</v>
      </c>
      <c r="G70" s="193">
        <f>(C26+1.4*E26)/6+250*(H64+1.4*J64)/E15-1000*(H63+1.4*J63)/E14/3</f>
        <v>107.62608974358974</v>
      </c>
      <c r="H70" s="194">
        <f>(C26+1.4*E26)/6+250*(H64+1.4*J64)/E15+1000*(H63+1.4*J63)/E14/3</f>
        <v>118.98608974358976</v>
      </c>
      <c r="I70" s="191" t="str">
        <f>IF(MIN(C67:H68)&lt;0,"PILE IN TENSION",IF(MIN(C69:H71)&lt;0,"PILE IN TENSION (ULS)","."))</f>
        <v>.</v>
      </c>
      <c r="J70" s="196"/>
      <c r="K70" s="175"/>
      <c r="L70" s="155"/>
    </row>
    <row r="71" spans="1:19" ht="15.75">
      <c r="A71" s="53"/>
      <c r="B71" s="187" t="s">
        <v>84</v>
      </c>
      <c r="C71" s="197">
        <f>0.2*SUM(C26:E26)-300*SUM(H64:J64)/E15-400*SUM(H63:J63)/E14</f>
        <v>151.91423076923081</v>
      </c>
      <c r="D71" s="198">
        <f>0.2*SUM(C26:E26)-300*SUM(H64:J64)/E15+400*SUM(H63:J63)/E14</f>
        <v>168.29884615384617</v>
      </c>
      <c r="E71" s="198">
        <f>0.2*SUM(C26:E26)-400*SUM(H63:J63)/E14</f>
        <v>161.00769230769234</v>
      </c>
      <c r="F71" s="198">
        <f>0.2*SUM(C26:E26)+400*SUM(H63:J63)/E14</f>
        <v>177.3923076923077</v>
      </c>
      <c r="G71" s="198">
        <f>0.2*SUM(C26:E26)+300*SUM(H64:J64)/E15-400*SUM(H63:J63)/E14</f>
        <v>170.10115384615386</v>
      </c>
      <c r="H71" s="199">
        <f>0.2*SUM(C26:E26)+300*SUM(H64:J64)/E15+400*SUM(H63:J63)/E14</f>
        <v>186.48576923076922</v>
      </c>
      <c r="J71" s="196"/>
      <c r="K71" s="175"/>
      <c r="L71" s="155"/>
      <c r="N71" s="200"/>
      <c r="O71" s="289" t="s">
        <v>85</v>
      </c>
      <c r="P71" s="281"/>
    </row>
    <row r="72" spans="1:19" ht="15.75">
      <c r="A72" s="53"/>
      <c r="B72" s="187"/>
      <c r="K72" s="175"/>
      <c r="L72" s="155"/>
      <c r="N72" s="201"/>
      <c r="O72" s="202" t="s">
        <v>86</v>
      </c>
      <c r="P72" s="203" t="s">
        <v>87</v>
      </c>
    </row>
    <row r="73" spans="1:19" ht="15.75">
      <c r="A73" s="53"/>
      <c r="B73" s="204" t="s">
        <v>88</v>
      </c>
      <c r="G73" s="205"/>
      <c r="H73" s="205"/>
      <c r="I73" s="205"/>
      <c r="J73" s="205"/>
      <c r="K73" s="175"/>
      <c r="L73" s="155"/>
      <c r="N73" s="84" t="s">
        <v>89</v>
      </c>
      <c r="O73" s="188">
        <f>E18-[1]DOUBLE!G10-12.5-IF(M78=1,0,25)</f>
        <v>537.5</v>
      </c>
      <c r="P73" s="190">
        <f>E18-[1]DOUBLE!G10-12.5-IF(M78=2,0,25)</f>
        <v>562.5</v>
      </c>
      <c r="Q73" s="206">
        <f>K83*O74*E18*IF(D82=0,0.5,1)</f>
        <v>1394.25</v>
      </c>
      <c r="R73" s="206">
        <f>K83*P74*E18*IF(H82=0,0.5,1)</f>
        <v>845</v>
      </c>
    </row>
    <row r="74" spans="1:19" ht="15.75">
      <c r="A74" s="53"/>
      <c r="B74" s="176"/>
      <c r="C74" s="290" t="s">
        <v>82</v>
      </c>
      <c r="D74" s="290"/>
      <c r="E74" s="290" t="s">
        <v>83</v>
      </c>
      <c r="F74" s="290"/>
      <c r="G74" s="290" t="s">
        <v>84</v>
      </c>
      <c r="H74" s="290"/>
      <c r="I74" s="205"/>
      <c r="J74" s="205"/>
      <c r="K74" s="175"/>
      <c r="L74" s="155"/>
      <c r="N74" s="84" t="s">
        <v>90</v>
      </c>
      <c r="O74" s="207">
        <f>C83</f>
        <v>3300</v>
      </c>
      <c r="P74" s="208">
        <f>G83</f>
        <v>2000</v>
      </c>
      <c r="Q74" s="209"/>
      <c r="R74" s="205"/>
    </row>
    <row r="75" spans="1:19" ht="15.75">
      <c r="A75" s="53"/>
      <c r="B75" s="187" t="s">
        <v>91</v>
      </c>
      <c r="C75" s="291">
        <f>((C69+D69)*(E17+E15-C15/2)+(E69+F69)*MAX(E17-E15/2,0))/1000</f>
        <v>397.91150000000005</v>
      </c>
      <c r="D75" s="292"/>
      <c r="E75" s="291">
        <f>((C70+D70)*(E17+E15-C15/2)+(E70+F70)*MAX(E17-E15/2,0))/1000</f>
        <v>212.99721153846156</v>
      </c>
      <c r="F75" s="292"/>
      <c r="G75" s="291">
        <f>((C71+D71)*(E17+E15-C15/2)+(E71+F71)*MAX(E17-E15/2,0))/1000</f>
        <v>336.22373076923083</v>
      </c>
      <c r="H75" s="292"/>
      <c r="I75" s="201"/>
      <c r="J75" s="170"/>
      <c r="K75" s="175"/>
      <c r="L75" s="155"/>
      <c r="N75" s="84" t="s">
        <v>92</v>
      </c>
      <c r="O75" s="210">
        <f>500000*C82/O74/[1]DOUBLE!D8/O73^2</f>
        <v>4.4441275688436319E-3</v>
      </c>
      <c r="P75" s="211">
        <f>500000*G82/P74/[1]DOUBLE!D8/P73^2</f>
        <v>9.8916345679012363E-3</v>
      </c>
      <c r="Q75" s="206"/>
      <c r="R75" s="205"/>
    </row>
    <row r="76" spans="1:19" ht="15.75">
      <c r="A76" s="53"/>
      <c r="B76" s="187" t="s">
        <v>93</v>
      </c>
      <c r="C76" s="284">
        <f>((G69+H69)*(E15-E17-C15/2)+(E69+F69)*MAX(-E15/2-E17,0))/1000</f>
        <v>438.16850000000005</v>
      </c>
      <c r="D76" s="285"/>
      <c r="E76" s="284">
        <f>((G70+H70)*(E15-E17-C15/2)+(E70+F70)*MAX(-E15/2-E17,0))/1000</f>
        <v>237.94278846153847</v>
      </c>
      <c r="F76" s="285"/>
      <c r="G76" s="284">
        <f>((G71+H71)*(E15-E17-C15/2)+(E71+F71)*MAX(-E15/2-E17,0))/1000</f>
        <v>374.41626923076927</v>
      </c>
      <c r="H76" s="285"/>
      <c r="I76" s="201"/>
      <c r="J76" s="170"/>
      <c r="K76" s="175"/>
      <c r="L76" s="155"/>
      <c r="M76" s="171"/>
      <c r="N76" s="177" t="s">
        <v>94</v>
      </c>
      <c r="O76" s="192">
        <f>O73*MIN(0.5+SQRT(0.25-O75/0.9),0.95)</f>
        <v>510.625</v>
      </c>
      <c r="P76" s="194">
        <f>P73*MIN(0.5+SQRT(0.25-P75/0.9),0.95)</f>
        <v>534.375</v>
      </c>
      <c r="Q76" s="205"/>
      <c r="R76" s="205"/>
    </row>
    <row r="77" spans="1:19" ht="15.75">
      <c r="A77" s="53"/>
      <c r="B77" s="187" t="s">
        <v>95</v>
      </c>
      <c r="C77" s="284">
        <f>(C69+E69+G69)*(E16-C14/2)/1000</f>
        <v>270.75073076923081</v>
      </c>
      <c r="D77" s="285"/>
      <c r="E77" s="284">
        <f>(C70+E70+G70)*(E16-C14/2)/1000</f>
        <v>144.90350000000001</v>
      </c>
      <c r="F77" s="285"/>
      <c r="G77" s="284">
        <f>(C71+E71+G71)*(E16-C14/2)/1000</f>
        <v>229.43596153846156</v>
      </c>
      <c r="H77" s="285"/>
      <c r="I77" s="201"/>
      <c r="J77" s="170"/>
      <c r="K77" s="175"/>
      <c r="L77" s="155"/>
      <c r="M77" s="201"/>
      <c r="N77" s="201" t="s">
        <v>96</v>
      </c>
      <c r="O77" s="207">
        <f>1000000*C82/O76/[1]DOUBLE!D9*[1]DOUBLE!J9</f>
        <v>1325.8207980088671</v>
      </c>
      <c r="P77" s="208">
        <f>1000000*G82/P76/[1]DOUBLE!D9*[1]DOUBLE!J9</f>
        <v>1871.6579710144933</v>
      </c>
      <c r="Q77" s="205"/>
      <c r="R77" s="205"/>
      <c r="S77" s="205"/>
    </row>
    <row r="78" spans="1:19" ht="15.75">
      <c r="A78" s="53"/>
      <c r="B78" s="187" t="s">
        <v>97</v>
      </c>
      <c r="C78" s="276">
        <f>(D69+F69+H69)*(E14-E16-C14/2)/1000</f>
        <v>296.58926923076928</v>
      </c>
      <c r="D78" s="277"/>
      <c r="E78" s="276">
        <f>(D70+F70+H70)*(E14-E16-C14/2)/1000</f>
        <v>161.09150000000002</v>
      </c>
      <c r="F78" s="277"/>
      <c r="G78" s="276">
        <f>(D71+F71+H71)*(E14-E16-C14/2)/1000</f>
        <v>252.78403846153844</v>
      </c>
      <c r="H78" s="277"/>
      <c r="I78" s="201"/>
      <c r="J78" s="170"/>
      <c r="K78" s="175"/>
      <c r="L78" s="155"/>
      <c r="M78" s="170">
        <f>IF(C82/C83&gt;=G82/G83,1,2)</f>
        <v>2</v>
      </c>
      <c r="N78" s="201" t="s">
        <v>98</v>
      </c>
      <c r="O78" s="207">
        <f>MAX(O77,$K83*2*(E13+E15)*E18)</f>
        <v>2788.5</v>
      </c>
      <c r="P78" s="208">
        <f>MAX(P77,$K83*(2*E13+E14)*E18)</f>
        <v>1871.6579710144933</v>
      </c>
      <c r="Q78" s="205"/>
      <c r="R78" s="205"/>
      <c r="S78" s="205"/>
    </row>
    <row r="79" spans="1:19" ht="15.75">
      <c r="A79" s="53"/>
      <c r="B79" s="187"/>
      <c r="K79" s="175"/>
      <c r="L79" s="155"/>
      <c r="M79" s="170">
        <f>IF(M78=1,2,1)</f>
        <v>1</v>
      </c>
      <c r="N79" s="201" t="s">
        <v>99</v>
      </c>
      <c r="O79" s="212">
        <f>CEILING((O74-2*([1]DOUBLE!G9+20))/O81+1,1)</f>
        <v>12</v>
      </c>
      <c r="P79" s="213">
        <f>CEILING((P74-2*([1]DOUBLE!G9+20))/P81+1,1)</f>
        <v>8</v>
      </c>
      <c r="Q79" s="209">
        <f>CEILING(O78/VLOOKUP(O78/O79,[1]DOUBLE!O1:P8,1),1)</f>
        <v>14</v>
      </c>
      <c r="R79" s="209">
        <f>CEILING(P78/VLOOKUP(P78/P79,[1]DOUBLE!O1:P8,1),1)</f>
        <v>10</v>
      </c>
      <c r="S79" s="205"/>
    </row>
    <row r="80" spans="1:19" ht="15.75">
      <c r="A80" s="53"/>
      <c r="B80" s="185" t="s">
        <v>100</v>
      </c>
      <c r="C80" s="214" t="s">
        <v>101</v>
      </c>
      <c r="D80" s="214" t="s">
        <v>102</v>
      </c>
      <c r="E80" s="214"/>
      <c r="F80" s="172" t="s">
        <v>103</v>
      </c>
      <c r="G80" s="214" t="s">
        <v>101</v>
      </c>
      <c r="H80" s="214" t="s">
        <v>102</v>
      </c>
      <c r="I80" s="201"/>
      <c r="J80" s="170"/>
      <c r="K80" s="175"/>
      <c r="L80" s="155"/>
      <c r="M80" s="201"/>
      <c r="N80" s="201" t="s">
        <v>104</v>
      </c>
      <c r="O80" s="207">
        <f>2/3*[1]DOUBLE!D9</f>
        <v>306.66666666666663</v>
      </c>
      <c r="P80" s="208">
        <f>O80</f>
        <v>306.66666666666663</v>
      </c>
      <c r="Q80" s="209">
        <f>CEILING((O74-2*[1]DOUBLE!G9-14)/0.75/O73,1)</f>
        <v>8</v>
      </c>
      <c r="R80" s="209">
        <f>CEILING((P74-2*[1]DOUBLE!G9-14)/0.75/P73,1)</f>
        <v>5</v>
      </c>
      <c r="S80" s="205"/>
    </row>
    <row r="81" spans="1:19" ht="15.75">
      <c r="A81" s="53"/>
      <c r="B81" s="187"/>
      <c r="C81" s="215">
        <f>VLOOKUP(O78/O79,[1]DOUBLE!O1:P8,2)</f>
        <v>16</v>
      </c>
      <c r="D81" s="215">
        <f>VLOOKUP(Q73/O96,[1]DOUBLE!O1:Q8,3)</f>
        <v>12</v>
      </c>
      <c r="E81" s="214"/>
      <c r="G81" s="215">
        <f>VLOOKUP(P78/P79,[1]DOUBLE!O1:P8,2)</f>
        <v>16</v>
      </c>
      <c r="H81" s="215">
        <f>VLOOKUP(R73/Q96,[1]DOUBLE!O1:Q8,3)</f>
        <v>12</v>
      </c>
      <c r="I81" s="201"/>
      <c r="J81" s="170"/>
      <c r="K81" s="175"/>
      <c r="L81" s="155"/>
      <c r="M81" s="201"/>
      <c r="N81" s="201" t="s">
        <v>105</v>
      </c>
      <c r="O81" s="197">
        <f>MIN(47000/O80/MIN(1,O86)+25,300)</f>
        <v>300</v>
      </c>
      <c r="P81" s="199">
        <f>MIN(47000/P80/MIN(1,Q86)+25,300)</f>
        <v>300</v>
      </c>
      <c r="Q81" s="205"/>
      <c r="R81" s="205"/>
      <c r="S81" s="205"/>
    </row>
    <row r="82" spans="1:19" ht="15.75">
      <c r="A82" s="53"/>
      <c r="B82" s="187" t="s">
        <v>106</v>
      </c>
      <c r="C82" s="214">
        <f>MAX(C77:H78)</f>
        <v>296.58926923076928</v>
      </c>
      <c r="D82" s="214">
        <f>ABS(MIN(C77:H78,0))</f>
        <v>0</v>
      </c>
      <c r="E82" s="205"/>
      <c r="F82" s="84" t="s">
        <v>106</v>
      </c>
      <c r="G82" s="214">
        <f>MAX(C75:H76)</f>
        <v>438.16850000000005</v>
      </c>
      <c r="H82" s="214">
        <f>ABS(MIN(C75:H76,0))</f>
        <v>0</v>
      </c>
      <c r="J82" s="84" t="s">
        <v>107</v>
      </c>
      <c r="K82" s="216">
        <f>[1]DOUBLE!J58</f>
        <v>0.15577500000000002</v>
      </c>
      <c r="L82" s="155"/>
      <c r="M82" s="201"/>
      <c r="N82" s="205"/>
      <c r="O82" s="205"/>
      <c r="P82" s="205"/>
      <c r="Q82" s="205"/>
      <c r="R82" s="205"/>
      <c r="S82" s="205"/>
    </row>
    <row r="83" spans="1:19" ht="15.75">
      <c r="A83" s="53"/>
      <c r="B83" s="187" t="s">
        <v>90</v>
      </c>
      <c r="C83" s="217">
        <f>2*E15+2*E13</f>
        <v>3300</v>
      </c>
      <c r="D83" s="217">
        <f>C83</f>
        <v>3300</v>
      </c>
      <c r="E83" s="218"/>
      <c r="F83" s="219" t="s">
        <v>90</v>
      </c>
      <c r="G83" s="217">
        <f>E14+2*E13</f>
        <v>2000</v>
      </c>
      <c r="H83" s="217">
        <f>G83</f>
        <v>2000</v>
      </c>
      <c r="J83" s="84" t="s">
        <v>108</v>
      </c>
      <c r="K83" s="220">
        <f>[1]DOUBLE!J59</f>
        <v>1.2999999999999999E-3</v>
      </c>
      <c r="L83" s="155"/>
      <c r="M83" s="201"/>
      <c r="N83" s="201"/>
      <c r="O83" s="278" t="s">
        <v>109</v>
      </c>
      <c r="P83" s="279"/>
      <c r="Q83" s="280"/>
      <c r="R83" s="281"/>
      <c r="S83" s="205"/>
    </row>
    <row r="84" spans="1:19" ht="15.75">
      <c r="A84" s="53"/>
      <c r="B84" s="187" t="s">
        <v>89</v>
      </c>
      <c r="C84" s="214">
        <f>E18-[1]DOUBLE!G10-C81/2-IF(M78=1,0,G81)</f>
        <v>551</v>
      </c>
      <c r="D84" s="214">
        <f>E18-[1]DOUBLE!G9-D81/2-IF(M78=1,0,H81)</f>
        <v>582</v>
      </c>
      <c r="E84" s="205"/>
      <c r="F84" s="84" t="s">
        <v>89</v>
      </c>
      <c r="G84" s="214">
        <f>E18-[1]DOUBLE!G10-G81/2-IF(M78=2,0,C81)</f>
        <v>567</v>
      </c>
      <c r="H84" s="214">
        <f>E18-[1]DOUBLE!G9-H81/2-IF(M78=2,0,D81)</f>
        <v>594</v>
      </c>
      <c r="K84" s="175"/>
      <c r="L84" s="155"/>
      <c r="M84" s="201"/>
      <c r="O84" s="282" t="s">
        <v>110</v>
      </c>
      <c r="P84" s="283"/>
      <c r="Q84" s="282" t="s">
        <v>111</v>
      </c>
      <c r="R84" s="283"/>
      <c r="S84" s="205"/>
    </row>
    <row r="85" spans="1:19" ht="15.75">
      <c r="A85" s="53"/>
      <c r="B85" s="187" t="s">
        <v>92</v>
      </c>
      <c r="C85" s="221">
        <f>1000000*C82/C83/[1]DOUBLE!$D8/C84^2</f>
        <v>8.4580500751725487E-3</v>
      </c>
      <c r="D85" s="221">
        <f>1000000*D82/D83/[1]DOUBLE!$D8/D84^2</f>
        <v>0</v>
      </c>
      <c r="E85" s="205"/>
      <c r="F85" s="84" t="s">
        <v>92</v>
      </c>
      <c r="G85" s="221">
        <f>1000000*G82/G83/[1]DOUBLE!$D8/G84^2</f>
        <v>1.9470495102476292E-2</v>
      </c>
      <c r="H85" s="221">
        <f>1000000*H82/H83/[1]DOUBLE!$D8/H84^2</f>
        <v>0</v>
      </c>
      <c r="I85" s="205"/>
      <c r="J85" s="205"/>
      <c r="K85" s="175"/>
      <c r="L85" s="155"/>
      <c r="M85" s="201"/>
      <c r="N85" s="84" t="s">
        <v>90</v>
      </c>
      <c r="O85" s="270">
        <f>O74</f>
        <v>3300</v>
      </c>
      <c r="P85" s="271"/>
      <c r="Q85" s="270">
        <f>P74</f>
        <v>2000</v>
      </c>
      <c r="R85" s="271"/>
      <c r="S85" s="205"/>
    </row>
    <row r="86" spans="1:19" ht="15.75">
      <c r="A86" s="53"/>
      <c r="B86" s="187" t="s">
        <v>94</v>
      </c>
      <c r="C86" s="169">
        <f>C84*MIN(0.5+SQRT(0.25-C85/0.9),0.95)</f>
        <v>523.44999999999993</v>
      </c>
      <c r="D86" s="169">
        <f>D84*MIN(0.5+SQRT(0.25-D85/0.9),0.95)</f>
        <v>552.9</v>
      </c>
      <c r="E86" s="205"/>
      <c r="F86" s="177" t="s">
        <v>94</v>
      </c>
      <c r="G86" s="169">
        <f>G84*MIN(0.5+SQRT(0.25-G85/0.9),0.95)</f>
        <v>538.65</v>
      </c>
      <c r="H86" s="169">
        <f>H84*MIN(0.5+SQRT(0.25-H85/0.9),0.95)</f>
        <v>564.29999999999995</v>
      </c>
      <c r="I86" s="205"/>
      <c r="J86" s="205"/>
      <c r="K86" s="175"/>
      <c r="L86" s="155"/>
      <c r="M86" s="201"/>
      <c r="N86" s="201" t="s">
        <v>112</v>
      </c>
      <c r="O86" s="272">
        <f>100*O77/O85/O73*1.02</f>
        <v>7.6241703395013086E-2</v>
      </c>
      <c r="P86" s="273"/>
      <c r="Q86" s="272">
        <f>100*P77/Q85/P73*1.02</f>
        <v>0.16969698937198072</v>
      </c>
      <c r="R86" s="273"/>
      <c r="S86" s="205"/>
    </row>
    <row r="87" spans="1:19" ht="15.75">
      <c r="A87" s="53"/>
      <c r="B87" s="187" t="s">
        <v>96</v>
      </c>
      <c r="C87" s="206">
        <f>1000000*C82/C86/[1]DOUBLE!$D9*[1]DOUBLE!$J9</f>
        <v>1293.3369853534775</v>
      </c>
      <c r="D87" s="206">
        <f>1000000*D82/D86/[1]DOUBLE!$D9*[1]DOUBLE!$J9</f>
        <v>0</v>
      </c>
      <c r="E87" s="205"/>
      <c r="F87" s="201" t="s">
        <v>96</v>
      </c>
      <c r="G87" s="206">
        <f>1000000*G82/G86/[1]DOUBLE!$D9*[1]DOUBLE!$J9</f>
        <v>1856.8035426731085</v>
      </c>
      <c r="H87" s="206">
        <f>1000000*H82/H86/[1]DOUBLE!$D9*[1]DOUBLE!$J9</f>
        <v>0</v>
      </c>
      <c r="I87" s="205"/>
      <c r="J87" s="205"/>
      <c r="K87" s="175"/>
      <c r="L87" s="155"/>
      <c r="M87" s="201"/>
      <c r="N87" s="201" t="s">
        <v>113</v>
      </c>
      <c r="O87" s="192">
        <f>E16-M95</f>
        <v>537.5</v>
      </c>
      <c r="P87" s="222">
        <f>E14-E16-M95</f>
        <v>537.5</v>
      </c>
      <c r="Q87" s="192">
        <f>E17-M95+E15</f>
        <v>1187.5</v>
      </c>
      <c r="R87" s="194">
        <f>E15-E17-M95</f>
        <v>1187.5</v>
      </c>
      <c r="S87" s="205"/>
    </row>
    <row r="88" spans="1:19" ht="15.75">
      <c r="A88" s="53"/>
      <c r="B88" s="187" t="s">
        <v>98</v>
      </c>
      <c r="C88" s="206">
        <f>MAX(C87,$K83*C83*$E18)</f>
        <v>2788.5</v>
      </c>
      <c r="D88" s="206">
        <f>IF(D87=0,0,MAX(D87,$K83*D83*$E18))</f>
        <v>0</v>
      </c>
      <c r="E88" s="205"/>
      <c r="F88" s="201" t="s">
        <v>98</v>
      </c>
      <c r="G88" s="206">
        <f>MAX(G87,$K83*G83*$E18)</f>
        <v>1856.8035426731085</v>
      </c>
      <c r="H88" s="206">
        <f>IF(H87=0,0,MAX(H87,$K83*H83*$E18))</f>
        <v>0</v>
      </c>
      <c r="I88" s="205"/>
      <c r="J88" s="205"/>
      <c r="K88" s="175"/>
      <c r="L88" s="155"/>
      <c r="M88" s="205"/>
      <c r="N88" s="201" t="s">
        <v>114</v>
      </c>
      <c r="O88" s="192">
        <f>MAX(C69+E69+G69,C70+E70+G70,C71+E71+G71)</f>
        <v>570.00153846153853</v>
      </c>
      <c r="P88" s="222">
        <f>MAX(D69+F69+H69,D70+F70+H70,D71+F71+H71)</f>
        <v>624.39846153846156</v>
      </c>
      <c r="Q88" s="192">
        <f>MAX(C69+D69,C70+D70,C71+D71)+IF(OR(P73&gt;=-E17,E17&lt;0),0,MAX(E69+F69,E70+F70,E71+F71))</f>
        <v>378.96333333333337</v>
      </c>
      <c r="R88" s="222">
        <f>MAX(G69+H69,G70+H70,G71+H71)+IF(OR(P73&gt;E17,E17&gt;=0),0,MAX(E69+F69,E70+F70,E71+F71))</f>
        <v>417.3033333333334</v>
      </c>
      <c r="S88" s="205"/>
    </row>
    <row r="89" spans="1:19" ht="15.75">
      <c r="A89" s="53"/>
      <c r="B89" s="187" t="s">
        <v>99</v>
      </c>
      <c r="C89" s="209">
        <f>MAX(2,CEILING(C88/PI()*4/C81^2,1))</f>
        <v>14</v>
      </c>
      <c r="D89" s="209">
        <f>MAX(E101,CEILING(D88/PI()*4/D81^2,1))</f>
        <v>14</v>
      </c>
      <c r="E89" s="205"/>
      <c r="F89" s="201" t="s">
        <v>99</v>
      </c>
      <c r="G89" s="209">
        <f>MAX(2,CEILING(G88/PI()*4/G81^2,1))</f>
        <v>10</v>
      </c>
      <c r="H89" s="209">
        <f>MAX(E105,CEILING(H88/PI()*4/H81^2,1))</f>
        <v>10</v>
      </c>
      <c r="I89" s="205"/>
      <c r="J89" s="205"/>
      <c r="K89" s="175"/>
      <c r="L89" s="155"/>
      <c r="M89" s="205"/>
      <c r="N89" s="201" t="s">
        <v>115</v>
      </c>
      <c r="O89" s="210">
        <f>1000*O88/O85/O73</f>
        <v>0.32135393288881658</v>
      </c>
      <c r="P89" s="223">
        <f>1000*P88/O85/O73</f>
        <v>0.352021683742614</v>
      </c>
      <c r="Q89" s="210">
        <f>1000*Q88/Q85/P73</f>
        <v>0.33685629629629632</v>
      </c>
      <c r="R89" s="223">
        <f>1000*R88/Q85/P73</f>
        <v>0.37093629629629638</v>
      </c>
      <c r="S89" s="205"/>
    </row>
    <row r="90" spans="1:19" ht="15.75">
      <c r="A90" s="53"/>
      <c r="B90" s="187" t="s">
        <v>116</v>
      </c>
      <c r="C90" s="206">
        <f>PI()/4*C81^2*C89</f>
        <v>2814.8670176164546</v>
      </c>
      <c r="D90" s="206">
        <f>PI()/4*D81^2*D89</f>
        <v>1583.3626974092558</v>
      </c>
      <c r="E90" s="205"/>
      <c r="F90" s="201" t="s">
        <v>116</v>
      </c>
      <c r="G90" s="206">
        <f>PI()/4*G81^2*G89</f>
        <v>2010.6192982974676</v>
      </c>
      <c r="H90" s="206">
        <f>PI()/4*H81^2*H89</f>
        <v>1130.9733552923256</v>
      </c>
      <c r="I90" s="205"/>
      <c r="J90" s="205"/>
      <c r="K90" s="175"/>
      <c r="L90" s="155"/>
      <c r="M90" s="201"/>
      <c r="N90" s="201" t="s">
        <v>117</v>
      </c>
      <c r="O90" s="210">
        <f>MAX(1,2*O73/O87)*0.632*MAX(1,400/O73)^0.25*MIN(3,O86)^0.3333333*(MIN([1]DOUBLE!D8,40)/25)^0.3333333</f>
        <v>0.59958944882068055</v>
      </c>
      <c r="P90" s="223">
        <f>MAX(1,2*O73/P87)*0.632*MAX(1,400/O73)^0.25*MIN(3,O86)^0.3333333*(MIN([1]DOUBLE!D8,40)/25)^0.3333333</f>
        <v>0.59958944882068055</v>
      </c>
      <c r="Q90" s="210">
        <f>MAX(1,2*P73/Q87)*0.632*MAX(1,400/P73)^0.25*MIN(3,Q86)^0.3333333*(MIN([1]DOUBLE!D8,40)/25)^0.3333333</f>
        <v>0.39142734026042109</v>
      </c>
      <c r="R90" s="223">
        <f>MAX(1,2*P73/R87)*0.632*MAX(1,400/P73)^0.25*MIN(3,Q86)^0.3333333*(MIN([1]DOUBLE!D8,40)/25)^0.3333333</f>
        <v>0.39142734026042109</v>
      </c>
      <c r="S90" s="205"/>
    </row>
    <row r="91" spans="1:19" ht="16.5">
      <c r="A91" s="53"/>
      <c r="B91" s="187" t="s">
        <v>104</v>
      </c>
      <c r="C91" s="206">
        <f>2/3*[1]DOUBLE!D9*C87/C90</f>
        <v>140.90304788569202</v>
      </c>
      <c r="D91" s="224" t="str">
        <f>D89&amp;[1]DOUBLE!$M1&amp;D81&amp;" T"&amp;$M78</f>
        <v>14 T12 T2</v>
      </c>
      <c r="E91" s="205"/>
      <c r="F91" s="201" t="s">
        <v>104</v>
      </c>
      <c r="G91" s="206">
        <f>IF(G87=0,0,2/3*[1]DOUBLE!D9*G87/G90)</f>
        <v>283.20615124334455</v>
      </c>
      <c r="H91" s="224" t="str">
        <f>H89&amp;[1]DOUBLE!$M1&amp;H81&amp;" T"&amp;$M79</f>
        <v>10 T12 T1</v>
      </c>
      <c r="I91" s="205"/>
      <c r="J91" s="205"/>
      <c r="K91" s="175"/>
      <c r="L91" s="155"/>
      <c r="M91" s="201"/>
      <c r="N91" s="201" t="s">
        <v>118</v>
      </c>
      <c r="O91" s="192">
        <f>MAX(O89-O90,0.4)*O85</f>
        <v>1320</v>
      </c>
      <c r="P91" s="222">
        <f>MAX(P89-P90,0.4)*O85</f>
        <v>1320</v>
      </c>
      <c r="Q91" s="192">
        <f>MAX(Q89-Q90,0.4)*Q85</f>
        <v>800</v>
      </c>
      <c r="R91" s="222">
        <f>MAX(R89-R90,0.4)*Q85</f>
        <v>800</v>
      </c>
      <c r="S91" s="205"/>
    </row>
    <row r="92" spans="1:19" ht="15.75">
      <c r="A92" s="53"/>
      <c r="B92" s="187" t="s">
        <v>119</v>
      </c>
      <c r="C92" s="214">
        <f>MIN(47000/C91/MIN(1,G99),300-C81)</f>
        <v>284</v>
      </c>
      <c r="D92" s="214"/>
      <c r="E92" s="205"/>
      <c r="F92" s="201" t="s">
        <v>119</v>
      </c>
      <c r="G92" s="214">
        <f>MIN(47000/G91/MIN(1,G103),300-G81)</f>
        <v>284</v>
      </c>
      <c r="H92" s="214"/>
      <c r="I92" s="205"/>
      <c r="J92" s="205"/>
      <c r="K92" s="175"/>
      <c r="L92" s="225" t="str">
        <f>IF(M41+M42&gt;0,"Spacing failure",".")</f>
        <v>.</v>
      </c>
      <c r="M92" s="201"/>
      <c r="N92" s="201" t="s">
        <v>120</v>
      </c>
      <c r="O92" s="274">
        <f>[1]DOUBLE!J9/[1]DOUBLE!D9*MAX(O91:P91)</f>
        <v>3.0130434782608697</v>
      </c>
      <c r="P92" s="275"/>
      <c r="Q92" s="274">
        <f>[1]DOUBLE!J9/[1]DOUBLE!D9*MAX(Q91:R91)</f>
        <v>1.8260869565217392</v>
      </c>
      <c r="R92" s="275"/>
      <c r="S92" s="205"/>
    </row>
    <row r="93" spans="1:19" ht="15.75">
      <c r="A93" s="53"/>
      <c r="B93" s="187" t="s">
        <v>121</v>
      </c>
      <c r="C93" s="214">
        <f>MAX(25,C81)</f>
        <v>25</v>
      </c>
      <c r="D93" s="214"/>
      <c r="E93" s="205"/>
      <c r="F93" s="201" t="s">
        <v>121</v>
      </c>
      <c r="G93" s="214">
        <f>MAX(25,G81)</f>
        <v>25</v>
      </c>
      <c r="H93" s="214"/>
      <c r="I93" s="205"/>
      <c r="J93" s="205"/>
      <c r="K93" s="175"/>
      <c r="L93" s="155"/>
      <c r="M93" s="201"/>
      <c r="N93" s="201" t="s">
        <v>122</v>
      </c>
      <c r="O93" s="268">
        <f>(O85-2*[1]DOUBLE!G9-20-C81)/(Q79-1)</f>
        <v>243.38461538461539</v>
      </c>
      <c r="P93" s="269"/>
      <c r="Q93" s="268">
        <f>(Q85-2*[1]DOUBLE!G9-20-G81)/(R79-1)</f>
        <v>207.11111111111111</v>
      </c>
      <c r="R93" s="269"/>
      <c r="S93" s="205"/>
    </row>
    <row r="94" spans="1:19" ht="15.75">
      <c r="A94" s="53"/>
      <c r="B94" s="187" t="s">
        <v>123</v>
      </c>
      <c r="C94" s="169">
        <f>(C83-2*([1]DOUBLE!G9+D98)-C89*C81)/(C89-1)</f>
        <v>227.38461538461539</v>
      </c>
      <c r="D94" s="169"/>
      <c r="E94" s="205"/>
      <c r="F94" s="201" t="s">
        <v>123</v>
      </c>
      <c r="G94" s="169">
        <f>(G83-2*([1]DOUBLE!G9+D98)-G89*G81)/(G89-1)</f>
        <v>191.11111111111111</v>
      </c>
      <c r="H94" s="169"/>
      <c r="I94" s="205"/>
      <c r="J94" s="205"/>
      <c r="K94" s="175"/>
      <c r="L94" s="155"/>
      <c r="M94" s="201"/>
      <c r="N94" s="201"/>
      <c r="O94" s="260">
        <f>CEILING((Q79-1)/FLOOR(300/O93,1)+1,1)</f>
        <v>14</v>
      </c>
      <c r="P94" s="261"/>
      <c r="Q94" s="260">
        <f>CEILING((R79-1)/FLOOR(300/Q93,1)+1,1)</f>
        <v>10</v>
      </c>
      <c r="R94" s="261"/>
      <c r="S94" s="205"/>
    </row>
    <row r="95" spans="1:19" ht="18">
      <c r="A95" s="53"/>
      <c r="B95" s="187"/>
      <c r="C95" s="224" t="str">
        <f>C89&amp;[1]DOUBLE!M1&amp;C81&amp;" B"&amp;M78</f>
        <v>14 T16 B2</v>
      </c>
      <c r="D95" s="226"/>
      <c r="E95" s="205"/>
      <c r="F95" s="201"/>
      <c r="G95" s="224" t="str">
        <f>G89&amp;[1]DOUBLE!M1&amp;G81&amp;" B"&amp;M79</f>
        <v>10 T16 B1</v>
      </c>
      <c r="H95" s="226"/>
      <c r="I95" s="205"/>
      <c r="J95" s="205"/>
      <c r="K95" s="175"/>
      <c r="L95" s="155"/>
      <c r="M95" s="227">
        <f>0.3*C19</f>
        <v>112.5</v>
      </c>
      <c r="N95" s="201" t="s">
        <v>124</v>
      </c>
      <c r="O95" s="260">
        <f>MAX(ROUNDUP((O85-2*[1]DOUBLE!G9-12)/MIN(450,O73),0),2,O94)</f>
        <v>14</v>
      </c>
      <c r="P95" s="261"/>
      <c r="Q95" s="260">
        <f>MAX(ROUNDUP((Q85-2*[1]DOUBLE!G9-12)/MIN(450,P73),0),2,Q94)</f>
        <v>10</v>
      </c>
      <c r="R95" s="261"/>
      <c r="S95" s="205"/>
    </row>
    <row r="96" spans="1:19" ht="15.75">
      <c r="A96" s="53"/>
      <c r="B96" s="187" t="s">
        <v>0</v>
      </c>
      <c r="C96" s="205"/>
      <c r="D96" s="205"/>
      <c r="E96" s="205"/>
      <c r="F96" s="201"/>
      <c r="G96" s="205"/>
      <c r="H96" s="205"/>
      <c r="I96" s="205"/>
      <c r="J96" s="205"/>
      <c r="K96" s="175"/>
      <c r="L96" s="155"/>
      <c r="M96" s="228"/>
      <c r="N96" s="201" t="s">
        <v>125</v>
      </c>
      <c r="O96" s="260">
        <f>MIN(1+Q79,O95)</f>
        <v>14</v>
      </c>
      <c r="P96" s="261"/>
      <c r="Q96" s="260">
        <f>MIN(1+R79,Q95)</f>
        <v>10</v>
      </c>
      <c r="R96" s="261"/>
      <c r="S96" s="205"/>
    </row>
    <row r="97" spans="1:19" ht="15.75">
      <c r="A97" s="53"/>
      <c r="B97" s="185" t="s">
        <v>126</v>
      </c>
      <c r="C97" s="205"/>
      <c r="D97" s="229" t="str">
        <f>"Critical section is "&amp;M95&amp;" mm from pile centres"</f>
        <v>Critical section is 112.5 mm from pile centres</v>
      </c>
      <c r="F97" s="170"/>
      <c r="G97" s="205"/>
      <c r="J97" s="205"/>
      <c r="K97" s="175"/>
      <c r="L97" s="155"/>
      <c r="M97" s="228"/>
      <c r="N97" s="177" t="s">
        <v>127</v>
      </c>
      <c r="O97" s="262">
        <f>O92*MIN(0.75*O73,450)/O96</f>
        <v>86.759510869565219</v>
      </c>
      <c r="P97" s="263"/>
      <c r="Q97" s="262">
        <f>Q92*MIN(0.75*P73,450)/Q96</f>
        <v>77.038043478260875</v>
      </c>
      <c r="R97" s="263"/>
      <c r="S97" s="205"/>
    </row>
    <row r="98" spans="1:19" ht="15.75">
      <c r="A98" s="53"/>
      <c r="B98" s="230" t="str">
        <f>O84</f>
        <v>EW (NS plane)</v>
      </c>
      <c r="D98" s="231">
        <f>VLOOKUP(MAX(O97,Q97),[1]DOUBLE!O1:P8,2)</f>
        <v>10</v>
      </c>
      <c r="E98" s="205" t="s">
        <v>128</v>
      </c>
      <c r="F98" s="206"/>
      <c r="G98" s="206"/>
      <c r="H98" s="206"/>
      <c r="I98" s="206"/>
      <c r="J98" s="206"/>
      <c r="K98" s="175"/>
      <c r="L98" s="155"/>
      <c r="M98" s="228"/>
      <c r="N98" s="205"/>
      <c r="O98" s="169">
        <f>MAX(O89-O90)*O85</f>
        <v>-918.17720257515111</v>
      </c>
      <c r="P98" s="169">
        <f>MAX(P89-P90)*O85</f>
        <v>-816.97362475761963</v>
      </c>
      <c r="Q98" s="169">
        <f>MAX(Q89-Q90)*Q85</f>
        <v>-109.14208792824954</v>
      </c>
      <c r="R98" s="169">
        <f>MAX(R89-R90)*Q85</f>
        <v>-40.98208792824942</v>
      </c>
      <c r="S98" s="205"/>
    </row>
    <row r="99" spans="1:19" ht="15.75">
      <c r="A99" s="53"/>
      <c r="B99" s="187" t="s">
        <v>114</v>
      </c>
      <c r="C99" s="227">
        <f>IF(MAX(O98:P98)=O98,O88,P88)</f>
        <v>624.39846153846156</v>
      </c>
      <c r="D99" s="84" t="s">
        <v>115</v>
      </c>
      <c r="E99" s="232">
        <f>1000*C99/C83/C84</f>
        <v>0.34339683305200547</v>
      </c>
      <c r="F99" s="171" t="s">
        <v>129</v>
      </c>
      <c r="G99" s="233">
        <f>100*C90/C83/C84</f>
        <v>0.15480762347337923</v>
      </c>
      <c r="H99" s="234" t="str">
        <f>IF(C99=0,"NO CRITICAL SHEAR PLANE",".")</f>
        <v>.</v>
      </c>
      <c r="I99" s="205"/>
      <c r="J99" s="205"/>
      <c r="K99" s="175"/>
      <c r="L99" s="235"/>
      <c r="M99" s="228" t="str">
        <f>FIXED(PI()/4*D$98^2*E101/G101*[1]DOUBLE!D$9/[1]DOUBLE!J$9,1)</f>
        <v>1,376.3</v>
      </c>
      <c r="N99" s="186"/>
      <c r="O99" s="264"/>
      <c r="P99" s="264"/>
      <c r="Q99" s="264"/>
      <c r="R99" s="264"/>
      <c r="S99" s="264"/>
    </row>
    <row r="100" spans="1:19" ht="15.75">
      <c r="A100" s="53"/>
      <c r="B100" s="187" t="s">
        <v>130</v>
      </c>
      <c r="C100" s="236">
        <f>IF(MAX(O98:P98)=O98,O87,P87)</f>
        <v>537.5</v>
      </c>
      <c r="D100" s="237" t="str">
        <f>IF(2*C$92&gt;C100,"vc 2d/av =","vc =")</f>
        <v>vc 2d/av =</v>
      </c>
      <c r="E100" s="232">
        <f>MAX(1,2*C84/C100)*0.632*MAX(1,400/C84)^0.25*MIN(3,G99)^0.3333333*(MIN([1]DOUBLE!D8,40)/25)^0.3333333</f>
        <v>0.77832387534491665</v>
      </c>
      <c r="F100" s="84" t="s">
        <v>118</v>
      </c>
      <c r="G100" s="238">
        <f>MAX(E99-E100,0.4)*C83</f>
        <v>1320</v>
      </c>
      <c r="H100" s="234"/>
      <c r="I100" s="206"/>
      <c r="J100" s="206"/>
      <c r="K100" s="175"/>
      <c r="L100" s="155"/>
      <c r="M100" s="239"/>
      <c r="N100" s="84"/>
      <c r="O100" s="186"/>
      <c r="P100" s="186"/>
      <c r="Q100" s="186"/>
      <c r="R100" s="186"/>
      <c r="S100" s="186"/>
    </row>
    <row r="101" spans="1:19" ht="16.5">
      <c r="A101" s="53"/>
      <c r="B101" s="187"/>
      <c r="D101" s="84" t="s">
        <v>131</v>
      </c>
      <c r="E101" s="170">
        <f>MIN(O96,C89)</f>
        <v>14</v>
      </c>
      <c r="F101" s="84" t="s">
        <v>132</v>
      </c>
      <c r="G101" s="170">
        <f>FLOOR(PI()/4*D98^2*[1]DOUBLE!D9/[1]DOUBLE!J9/MAX(E99-E100,E103-E104,0.4)/C83*E101,25)</f>
        <v>350</v>
      </c>
      <c r="H101" s="240" t="str">
        <f>E101&amp;" Legs"&amp;[1]DOUBLE!M1&amp;D98&amp;" @ "&amp;G101&amp;" LINKS"</f>
        <v>14 Legs T10 @ 350 LINKS</v>
      </c>
      <c r="I101" s="205"/>
      <c r="J101" s="205"/>
      <c r="K101" s="175"/>
      <c r="L101" s="155"/>
      <c r="M101" s="170"/>
      <c r="N101" s="84"/>
      <c r="O101" s="193"/>
      <c r="P101" s="193"/>
      <c r="Q101" s="193"/>
      <c r="R101" s="193"/>
      <c r="S101" s="193"/>
    </row>
    <row r="102" spans="1:19" ht="15.75">
      <c r="A102" s="53"/>
      <c r="B102" s="230" t="str">
        <f>Q84</f>
        <v>NS (EW plane)</v>
      </c>
      <c r="C102" s="231"/>
      <c r="D102" s="205"/>
      <c r="E102" s="206"/>
      <c r="F102" s="241"/>
      <c r="G102" s="206"/>
      <c r="H102" s="206"/>
      <c r="I102" s="206"/>
      <c r="J102" s="206"/>
      <c r="K102" s="175"/>
      <c r="L102" s="155"/>
      <c r="N102" s="84"/>
      <c r="O102" s="186"/>
      <c r="P102" s="186"/>
      <c r="Q102" s="186"/>
      <c r="R102" s="186"/>
      <c r="S102" s="186"/>
    </row>
    <row r="103" spans="1:19" ht="15.75">
      <c r="A103" s="53"/>
      <c r="B103" s="187" t="s">
        <v>114</v>
      </c>
      <c r="C103" s="227">
        <f>IF(MAX(Q98:R98)=Q98,Q88,R88)</f>
        <v>417.3033333333334</v>
      </c>
      <c r="D103" s="84" t="s">
        <v>115</v>
      </c>
      <c r="E103" s="232">
        <f>1000*C103/G83/G84</f>
        <v>0.36799235743680192</v>
      </c>
      <c r="F103" s="242" t="s">
        <v>129</v>
      </c>
      <c r="G103" s="243">
        <f>100*G90/G83/G84</f>
        <v>0.17730328909148743</v>
      </c>
      <c r="H103" s="234" t="str">
        <f>IF(C103=0,"NO CRITICAL SHEAR PLANE",".")</f>
        <v>.</v>
      </c>
      <c r="I103" s="205"/>
      <c r="J103" s="205"/>
      <c r="K103" s="175"/>
      <c r="L103" s="155"/>
      <c r="M103" s="228" t="str">
        <f>FIXED(PI()/4*D$98^2*E105/G105*[1]DOUBLE!D$9/[1]DOUBLE!J$9,1)</f>
        <v>809.6</v>
      </c>
      <c r="N103" s="84"/>
      <c r="O103" s="193"/>
      <c r="P103" s="193"/>
      <c r="Q103" s="193"/>
      <c r="R103" s="193"/>
      <c r="S103" s="193"/>
    </row>
    <row r="104" spans="1:19" ht="15.75">
      <c r="A104" s="53"/>
      <c r="B104" s="187" t="s">
        <v>130</v>
      </c>
      <c r="C104" s="236">
        <f>IF(MAX(Q98:R98)=Q98,Q87,R87)</f>
        <v>1187.5</v>
      </c>
      <c r="D104" s="237" t="str">
        <f>IF(2*C$92&gt;C104,"vc 2d/av =","vc =")</f>
        <v>vc =</v>
      </c>
      <c r="E104" s="232">
        <f>MAX(1,2*G84/C104)*0.632*MAX(1,400/C84)^0.25*MIN(3,G103)^0.3333333*(MIN([1]DOUBLE!D8,40)/25)^0.3333333</f>
        <v>0.39719036759473841</v>
      </c>
      <c r="F104" s="84" t="s">
        <v>118</v>
      </c>
      <c r="G104" s="238">
        <f>MAX(E103-E104,0.4)*G83</f>
        <v>800</v>
      </c>
      <c r="H104" s="234"/>
      <c r="I104" s="205"/>
      <c r="J104" s="205"/>
      <c r="K104" s="175"/>
      <c r="L104" s="155"/>
      <c r="M104" s="201"/>
      <c r="N104" s="84"/>
      <c r="O104" s="186"/>
      <c r="P104" s="186"/>
      <c r="Q104" s="186"/>
      <c r="R104" s="186"/>
      <c r="S104" s="186"/>
    </row>
    <row r="105" spans="1:19" ht="16.5">
      <c r="A105" s="53"/>
      <c r="B105" s="187"/>
      <c r="D105" s="84" t="s">
        <v>131</v>
      </c>
      <c r="E105" s="170">
        <f>MIN(Q96,G89)</f>
        <v>10</v>
      </c>
      <c r="F105" s="84" t="s">
        <v>132</v>
      </c>
      <c r="G105" s="170">
        <f>FLOOR(PI()/4*D98^2*[1]DOUBLE!D9/[1]DOUBLE!J9/MAX(E99-E100,E103-E104,0.4)/G83*E105,25)</f>
        <v>425</v>
      </c>
      <c r="H105" s="240" t="str">
        <f>E105&amp;" Legs"&amp;[1]DOUBLE!M1&amp;D98&amp;" @ "&amp;G105&amp;" LINKS"</f>
        <v>10 Legs T10 @ 425 LINKS</v>
      </c>
      <c r="I105" s="205"/>
      <c r="J105" s="205"/>
      <c r="K105" s="175"/>
      <c r="L105" s="155"/>
    </row>
    <row r="106" spans="1:19" ht="15.75">
      <c r="A106" s="53"/>
      <c r="B106" s="187"/>
      <c r="C106" s="206"/>
      <c r="D106" s="206"/>
      <c r="E106" s="205"/>
      <c r="F106" s="201"/>
      <c r="G106" s="206"/>
      <c r="H106" s="206"/>
      <c r="I106" s="205"/>
      <c r="J106" s="205"/>
      <c r="K106" s="175"/>
      <c r="L106" s="155"/>
      <c r="M106" s="201"/>
      <c r="N106" s="171" t="s">
        <v>133</v>
      </c>
      <c r="O106" s="244">
        <f>MIN(E16-C14/2,E14-E16-C14/2,E15-ABS(E17)-C15/2)-0.3*C17</f>
        <v>475</v>
      </c>
      <c r="P106" s="193"/>
    </row>
    <row r="107" spans="1:19" ht="15.75">
      <c r="A107" s="53"/>
      <c r="B107" s="185" t="s">
        <v>134</v>
      </c>
      <c r="C107" s="245" t="s">
        <v>135</v>
      </c>
      <c r="E107" s="84"/>
      <c r="F107" s="246" t="str">
        <f>IF(O106&gt;O107,"At 1.5 d",IF(MAX(E25:E26)&gt;3*C28,"At Fig 3.23 critical section","No other critical section"))</f>
        <v>No other critical section</v>
      </c>
      <c r="G107" s="201"/>
      <c r="H107" s="170"/>
      <c r="I107" s="205"/>
      <c r="J107" s="205"/>
      <c r="K107" s="175"/>
      <c r="L107" s="155"/>
      <c r="N107" s="171" t="s">
        <v>136</v>
      </c>
      <c r="O107" s="244">
        <f>0.75*(C84+G84)</f>
        <v>838.5</v>
      </c>
      <c r="P107" s="193"/>
    </row>
    <row r="108" spans="1:19" ht="15.75">
      <c r="A108" s="53"/>
      <c r="B108" s="187" t="s">
        <v>114</v>
      </c>
      <c r="C108" s="244">
        <f>MAX(1.4*C26+1.6*D26,C26+1.4*E26,1.2*SUM(C26:E26))</f>
        <v>1194.4000000000001</v>
      </c>
      <c r="E108" s="247" t="s">
        <v>137</v>
      </c>
      <c r="F108" s="248">
        <f>2*(O108+O109)</f>
        <v>6504</v>
      </c>
      <c r="G108" s="84" t="s">
        <v>138</v>
      </c>
      <c r="H108" s="170">
        <f>(C84+G84)/2</f>
        <v>559</v>
      </c>
      <c r="I108" s="205"/>
      <c r="J108" s="205"/>
      <c r="K108" s="175"/>
      <c r="L108" s="155"/>
      <c r="N108" s="84" t="s">
        <v>139</v>
      </c>
      <c r="O108" s="244">
        <f>MIN(O107+C14/2,E16-0.3*C19)+MIN(O107+C14/2,E14-E16-0.3*C19)</f>
        <v>1075</v>
      </c>
      <c r="P108" s="238">
        <f>E14/2-0.3*C19</f>
        <v>537.5</v>
      </c>
    </row>
    <row r="109" spans="1:19" ht="15.75">
      <c r="A109" s="53"/>
      <c r="B109" s="187" t="s">
        <v>115</v>
      </c>
      <c r="C109" s="243">
        <f>1000*C108/(C14+C15)/(C84+G84)</f>
        <v>1.2568662527622856</v>
      </c>
      <c r="E109" s="177" t="s">
        <v>115</v>
      </c>
      <c r="F109" s="243">
        <f>IF(F107="No other critical section",0,1000*C108/F108/H108)</f>
        <v>0</v>
      </c>
      <c r="G109" s="171" t="s">
        <v>130</v>
      </c>
      <c r="H109" s="244">
        <f>(P108+P109)/2</f>
        <v>537.5</v>
      </c>
      <c r="I109" s="205"/>
      <c r="J109" s="205"/>
      <c r="K109" s="175"/>
      <c r="L109" s="155"/>
      <c r="N109" s="84" t="s">
        <v>140</v>
      </c>
      <c r="O109" s="244">
        <f>MIN(O107+C15/2,E15-ABS(E17)-0.3*C19)+O107+C15/2</f>
        <v>2177</v>
      </c>
      <c r="P109" s="238">
        <f>E15/2-0.3*C19</f>
        <v>537.5</v>
      </c>
    </row>
    <row r="110" spans="1:19" ht="15.75">
      <c r="A110" s="53"/>
      <c r="B110" s="187" t="s">
        <v>141</v>
      </c>
      <c r="C110" s="243">
        <f>[1]DOUBLE!N5</f>
        <v>4.7328638264796927</v>
      </c>
      <c r="D110" s="249" t="str">
        <f>IF(C109&gt;C110,"FAILS","ok")</f>
        <v>ok</v>
      </c>
      <c r="E110" s="237" t="s">
        <v>117</v>
      </c>
      <c r="F110" s="243">
        <f>MAX(1,2*H108/H109)*0.632*MAX(1,400/H108)^0.25*MIN(3,O110)^0.3333333*(MIN([1]DOUBLE!D$8,40)/25)^0.3333333</f>
        <v>0.80830294853636286</v>
      </c>
      <c r="G110" s="201"/>
      <c r="H110" s="249" t="str">
        <f>IF(F109&gt;F110,"FAILS","ok")</f>
        <v>ok</v>
      </c>
      <c r="I110" s="205"/>
      <c r="J110" s="205"/>
      <c r="K110" s="175"/>
      <c r="L110" s="155"/>
      <c r="N110" s="247" t="s">
        <v>142</v>
      </c>
      <c r="O110" s="250">
        <f>100*(C90/C84/C83+G90/G84/G83)/2</f>
        <v>0.16605545628243334</v>
      </c>
      <c r="P110" s="193"/>
    </row>
    <row r="111" spans="1:19" ht="15.75" thickBot="1">
      <c r="A111" s="142"/>
      <c r="B111" s="251"/>
      <c r="C111" s="252"/>
      <c r="D111" s="253"/>
      <c r="E111" s="254"/>
      <c r="F111" s="252"/>
      <c r="G111" s="255"/>
      <c r="H111" s="253"/>
      <c r="I111" s="256"/>
      <c r="J111" s="256"/>
      <c r="K111" s="257"/>
      <c r="L111" s="258"/>
    </row>
    <row r="112" spans="1:19" ht="16.5" thickTop="1">
      <c r="A112" s="259"/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</row>
    <row r="114" spans="4:8" ht="15.75">
      <c r="D114" s="17"/>
      <c r="E114" s="17"/>
      <c r="F114" s="18" t="s">
        <v>146</v>
      </c>
      <c r="G114" s="17"/>
      <c r="H114" s="17"/>
    </row>
    <row r="115" spans="4:8" ht="15.75">
      <c r="D115" s="17"/>
      <c r="E115" s="17"/>
      <c r="F115" s="19" t="s">
        <v>147</v>
      </c>
      <c r="G115" s="17"/>
      <c r="H115" s="17"/>
    </row>
    <row r="116" spans="4:8" ht="18.75">
      <c r="D116" s="17"/>
      <c r="E116" s="17"/>
      <c r="F116" s="20" t="s">
        <v>148</v>
      </c>
      <c r="G116" s="17"/>
      <c r="H116" s="17"/>
    </row>
    <row r="117" spans="4:8" ht="20.25">
      <c r="D117" s="17"/>
      <c r="E117" s="17"/>
      <c r="F117" s="21" t="s">
        <v>143</v>
      </c>
      <c r="G117" s="17"/>
      <c r="H117" s="17"/>
    </row>
    <row r="118" spans="4:8" ht="15.75">
      <c r="D118" s="17"/>
      <c r="E118" s="17"/>
      <c r="F118" s="18" t="s">
        <v>144</v>
      </c>
      <c r="G118" s="17"/>
      <c r="H118" s="17"/>
    </row>
    <row r="119" spans="4:8">
      <c r="D119" s="1"/>
      <c r="E119" s="1"/>
      <c r="F119" s="1"/>
      <c r="G119" s="1"/>
      <c r="H119" s="1"/>
    </row>
  </sheetData>
  <sheetProtection algorithmName="SHA-512" hashValue="LMf2zzw6Es3xn4zpvmX5ycQFJz+3VlBwEmUCa4zERMw3xbplxVd4dosIzrHic/xImT4O7G8Dzt6PKDH9kB/ypQ==" saltValue="8uhj/Zxa0Cv5oEAS+B7BGA==" spinCount="100000" sheet="1" objects="1" scenarios="1"/>
  <mergeCells count="53">
    <mergeCell ref="L9:L10"/>
    <mergeCell ref="Q11:T11"/>
    <mergeCell ref="D12:E12"/>
    <mergeCell ref="G55:H56"/>
    <mergeCell ref="I55:K55"/>
    <mergeCell ref="G6:H7"/>
    <mergeCell ref="I6:K6"/>
    <mergeCell ref="G8:H9"/>
    <mergeCell ref="B13:C13"/>
    <mergeCell ref="J24:K24"/>
    <mergeCell ref="H27:K28"/>
    <mergeCell ref="H44:J44"/>
    <mergeCell ref="H52:J52"/>
    <mergeCell ref="G77:H77"/>
    <mergeCell ref="G57:H58"/>
    <mergeCell ref="O71:P71"/>
    <mergeCell ref="C74:D74"/>
    <mergeCell ref="E74:F74"/>
    <mergeCell ref="G74:H74"/>
    <mergeCell ref="C75:D75"/>
    <mergeCell ref="E75:F75"/>
    <mergeCell ref="G75:H75"/>
    <mergeCell ref="O94:P94"/>
    <mergeCell ref="Q94:R94"/>
    <mergeCell ref="O95:P95"/>
    <mergeCell ref="Q95:R95"/>
    <mergeCell ref="O85:P85"/>
    <mergeCell ref="Q85:R85"/>
    <mergeCell ref="O86:P86"/>
    <mergeCell ref="Q86:R86"/>
    <mergeCell ref="O92:P92"/>
    <mergeCell ref="Q92:R92"/>
    <mergeCell ref="A1:XFD2"/>
    <mergeCell ref="A3:XFD3"/>
    <mergeCell ref="A4:XFD4"/>
    <mergeCell ref="O93:P93"/>
    <mergeCell ref="Q93:R93"/>
    <mergeCell ref="C78:D78"/>
    <mergeCell ref="E78:F78"/>
    <mergeCell ref="G78:H78"/>
    <mergeCell ref="O83:R83"/>
    <mergeCell ref="O84:P84"/>
    <mergeCell ref="Q84:R84"/>
    <mergeCell ref="C76:D76"/>
    <mergeCell ref="E76:F76"/>
    <mergeCell ref="G76:H76"/>
    <mergeCell ref="C77:D77"/>
    <mergeCell ref="E77:F77"/>
    <mergeCell ref="O96:P96"/>
    <mergeCell ref="Q96:R96"/>
    <mergeCell ref="O97:P97"/>
    <mergeCell ref="Q97:R97"/>
    <mergeCell ref="O99:S99"/>
  </mergeCells>
  <conditionalFormatting sqref="E15">
    <cfRule type="cellIs" dxfId="27" priority="1" stopIfTrue="1" operator="equal">
      <formula>$E$14</formula>
    </cfRule>
  </conditionalFormatting>
  <conditionalFormatting sqref="C67:H67">
    <cfRule type="cellIs" dxfId="26" priority="2" stopIfTrue="1" operator="greaterThan">
      <formula>$D$14</formula>
    </cfRule>
    <cfRule type="cellIs" dxfId="25" priority="3" stopIfTrue="1" operator="lessThan">
      <formula>0</formula>
    </cfRule>
  </conditionalFormatting>
  <conditionalFormatting sqref="C68:H68">
    <cfRule type="cellIs" dxfId="24" priority="4" stopIfTrue="1" operator="greaterThan">
      <formula>$D$14*1.25</formula>
    </cfRule>
    <cfRule type="cellIs" dxfId="23" priority="5" stopIfTrue="1" operator="lessThan">
      <formula>0</formula>
    </cfRule>
  </conditionalFormatting>
  <conditionalFormatting sqref="C69:H71">
    <cfRule type="cellIs" dxfId="22" priority="6" stopIfTrue="1" operator="lessThan">
      <formula>0</formula>
    </cfRule>
  </conditionalFormatting>
  <conditionalFormatting sqref="C92:D92 H92">
    <cfRule type="cellIs" dxfId="21" priority="7" stopIfTrue="1" operator="lessThan">
      <formula>C94</formula>
    </cfRule>
  </conditionalFormatting>
  <conditionalFormatting sqref="G92">
    <cfRule type="cellIs" dxfId="20" priority="8" stopIfTrue="1" operator="lessThan">
      <formula>$G$94</formula>
    </cfRule>
  </conditionalFormatting>
  <conditionalFormatting sqref="C93:D93 H93">
    <cfRule type="cellIs" dxfId="19" priority="9" stopIfTrue="1" operator="greaterThan">
      <formula>$C$94</formula>
    </cfRule>
  </conditionalFormatting>
  <conditionalFormatting sqref="G93">
    <cfRule type="cellIs" dxfId="18" priority="10" stopIfTrue="1" operator="greaterThan">
      <formula>$G$94</formula>
    </cfRule>
  </conditionalFormatting>
  <conditionalFormatting sqref="E34:J34">
    <cfRule type="cellIs" dxfId="17" priority="11" stopIfTrue="1" operator="greaterThan">
      <formula>$M$12</formula>
    </cfRule>
    <cfRule type="cellIs" dxfId="16" priority="12" stopIfTrue="1" operator="lessThan">
      <formula>0</formula>
    </cfRule>
  </conditionalFormatting>
  <conditionalFormatting sqref="K29:K36 I32:J32 E35:J36">
    <cfRule type="cellIs" dxfId="15" priority="13" stopIfTrue="1" operator="greaterThan">
      <formula>$M$12*1.25</formula>
    </cfRule>
    <cfRule type="cellIs" dxfId="14" priority="14" stopIfTrue="1" operator="lessThan">
      <formula>0</formula>
    </cfRule>
  </conditionalFormatting>
  <conditionalFormatting sqref="D101:H101">
    <cfRule type="expression" dxfId="13" priority="15" stopIfTrue="1">
      <formula>$M$78=1</formula>
    </cfRule>
  </conditionalFormatting>
  <conditionalFormatting sqref="D105:H105">
    <cfRule type="expression" dxfId="12" priority="16" stopIfTrue="1">
      <formula>$M$78=2</formula>
    </cfRule>
  </conditionalFormatting>
  <conditionalFormatting sqref="E44">
    <cfRule type="expression" dxfId="11" priority="17" stopIfTrue="1">
      <formula>$M$78=1</formula>
    </cfRule>
  </conditionalFormatting>
  <conditionalFormatting sqref="D52:E52">
    <cfRule type="expression" dxfId="10" priority="18" stopIfTrue="1">
      <formula>$M$78=2</formula>
    </cfRule>
  </conditionalFormatting>
  <conditionalFormatting sqref="C41">
    <cfRule type="expression" dxfId="9" priority="19" stopIfTrue="1">
      <formula>$E$100&gt;$G$100</formula>
    </cfRule>
  </conditionalFormatting>
  <conditionalFormatting sqref="C49">
    <cfRule type="expression" dxfId="8" priority="20" stopIfTrue="1">
      <formula>$E$104&gt;$G$104</formula>
    </cfRule>
  </conditionalFormatting>
  <conditionalFormatting sqref="E16:E17">
    <cfRule type="cellIs" dxfId="7" priority="21" stopIfTrue="1" operator="equal">
      <formula>$N11</formula>
    </cfRule>
  </conditionalFormatting>
  <conditionalFormatting sqref="D20">
    <cfRule type="cellIs" dxfId="6" priority="22" stopIfTrue="1" operator="greaterThan">
      <formula>$M$16</formula>
    </cfRule>
  </conditionalFormatting>
  <conditionalFormatting sqref="L26">
    <cfRule type="expression" dxfId="5" priority="23" stopIfTrue="1">
      <formula>$M$16&lt;$C$18</formula>
    </cfRule>
  </conditionalFormatting>
  <conditionalFormatting sqref="H27:K28">
    <cfRule type="cellIs" dxfId="4" priority="24" stopIfTrue="1" operator="equal">
      <formula>"VALID DESIGN"</formula>
    </cfRule>
    <cfRule type="cellIs" dxfId="3" priority="25" stopIfTrue="1" operator="equal">
      <formula>"PILE IN TENSION."</formula>
    </cfRule>
  </conditionalFormatting>
  <conditionalFormatting sqref="D110">
    <cfRule type="cellIs" dxfId="2" priority="26" stopIfTrue="1" operator="equal">
      <formula>"ok"</formula>
    </cfRule>
  </conditionalFormatting>
  <conditionalFormatting sqref="E107:E110 G107:H110 F108:F110">
    <cfRule type="cellIs" dxfId="1" priority="27" stopIfTrue="1" operator="equal">
      <formula>"ok"</formula>
    </cfRule>
    <cfRule type="expression" dxfId="0" priority="28" stopIfTrue="1">
      <formula>$F$107="No other critical section"</formula>
    </cfRule>
  </conditionalFormatting>
  <hyperlinks>
    <hyperlink ref="K40" r:id="rId1" display="r_m.webster@which.net"/>
  </hyperlinks>
  <pageMargins left="0.7" right="0.7" top="0.75" bottom="0.75" header="0.3" footer="0.3"/>
  <pageSetup orientation="portrait" horizontalDpi="4294967295" verticalDpi="4294967295" r:id="rId2"/>
  <drawing r:id="rId3"/>
  <legacyDrawing r:id="rId4"/>
  <oleObjects>
    <mc:AlternateContent xmlns:mc="http://schemas.openxmlformats.org/markup-compatibility/2006">
      <mc:Choice Requires="x14">
        <oleObject progId="CorelDRAW.Graphic.9" shapeId="1026" r:id="rId5">
          <objectPr defaultSize="0" autoPict="0" r:id="rId6">
            <anchor moveWithCells="1">
              <from>
                <xdr:col>8</xdr:col>
                <xdr:colOff>142875</xdr:colOff>
                <xdr:row>10</xdr:row>
                <xdr:rowOff>76200</xdr:rowOff>
              </from>
              <to>
                <xdr:col>11</xdr:col>
                <xdr:colOff>352425</xdr:colOff>
                <xdr:row>23</xdr:row>
                <xdr:rowOff>28575</xdr:rowOff>
              </to>
            </anchor>
          </objectPr>
        </oleObject>
      </mc:Choice>
      <mc:Fallback>
        <oleObject progId="CorelDRAW.Graphic.9" shapeId="1026" r:id="rId5"/>
      </mc:Fallback>
    </mc:AlternateContent>
    <mc:AlternateContent xmlns:mc="http://schemas.openxmlformats.org/markup-compatibility/2006">
      <mc:Choice Requires="x14">
        <oleObject progId="CorelDRAW.Graphic.9" shapeId="1027" r:id="rId7">
          <objectPr defaultSize="0" autoPict="0" r:id="rId8">
            <anchor moveWithCells="1">
              <from>
                <xdr:col>11</xdr:col>
                <xdr:colOff>295275</xdr:colOff>
                <xdr:row>28</xdr:row>
                <xdr:rowOff>57150</xdr:rowOff>
              </from>
              <to>
                <xdr:col>11</xdr:col>
                <xdr:colOff>1543050</xdr:colOff>
                <xdr:row>31</xdr:row>
                <xdr:rowOff>219075</xdr:rowOff>
              </to>
            </anchor>
          </objectPr>
        </oleObject>
      </mc:Choice>
      <mc:Fallback>
        <oleObject progId="CorelDRAW.Graphic.9" shapeId="1027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9" name="Button 4">
              <controlPr defaultSize="0" print="0" autoFill="0" autoPict="0" macro="[1]!Summary6">
                <anchor moveWithCells="1">
                  <from>
                    <xdr:col>11</xdr:col>
                    <xdr:colOff>600075</xdr:colOff>
                    <xdr:row>17</xdr:row>
                    <xdr:rowOff>57150</xdr:rowOff>
                  </from>
                  <to>
                    <xdr:col>11</xdr:col>
                    <xdr:colOff>1581150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0" name="Button 5">
              <controlPr defaultSize="0" print="0" autoFill="0" autoPict="0" macro="[1]!Details6">
                <anchor moveWithCells="1">
                  <from>
                    <xdr:col>11</xdr:col>
                    <xdr:colOff>1581150</xdr:colOff>
                    <xdr:row>17</xdr:row>
                    <xdr:rowOff>57150</xdr:rowOff>
                  </from>
                  <to>
                    <xdr:col>11</xdr:col>
                    <xdr:colOff>2419350</xdr:colOff>
                    <xdr:row>19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2017-12-01T12:48:38Z</dcterms:created>
  <dcterms:modified xsi:type="dcterms:W3CDTF">2017-12-01T12:55:37Z</dcterms:modified>
</cp:coreProperties>
</file>