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20" activeTab="3"/>
  </bookViews>
  <sheets>
    <sheet name="Seismic" sheetId="1" r:id="rId1"/>
    <sheet name="wind" sheetId="2" r:id="rId2"/>
    <sheet name="eccentricity" sheetId="3" r:id="rId3"/>
    <sheet name="Water Tank" sheetId="6" r:id="rId4"/>
    <sheet name="Load combination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6" l="1"/>
  <c r="B52" i="6"/>
  <c r="G49" i="6"/>
  <c r="B42" i="6"/>
  <c r="G25" i="6"/>
  <c r="G38" i="6" s="1"/>
  <c r="G39" i="6" s="1"/>
  <c r="G43" i="6" s="1"/>
  <c r="G22" i="6"/>
  <c r="G24" i="6" s="1"/>
  <c r="G27" i="6" s="1"/>
  <c r="G52" i="6" s="1"/>
  <c r="G53" i="6" s="1"/>
  <c r="G23" i="6" l="1"/>
  <c r="G26" i="6" s="1"/>
  <c r="G28" i="6" s="1"/>
  <c r="D311" i="2" l="1"/>
  <c r="D302" i="2"/>
  <c r="D310" i="2"/>
  <c r="D309" i="2"/>
  <c r="I313" i="2"/>
  <c r="D300" i="2"/>
  <c r="D290" i="2"/>
  <c r="D289" i="2"/>
  <c r="D307" i="2" s="1"/>
  <c r="D287" i="2"/>
  <c r="D281" i="2"/>
  <c r="I281" i="2" s="1"/>
  <c r="H281" i="2"/>
  <c r="E154" i="4"/>
  <c r="E153" i="4"/>
  <c r="E155" i="4" s="1"/>
  <c r="E156" i="4" s="1"/>
  <c r="G171" i="4" l="1"/>
  <c r="G172" i="4" s="1"/>
  <c r="G173" i="4" s="1"/>
  <c r="G174" i="4" s="1"/>
  <c r="G165" i="4"/>
  <c r="G166" i="4" s="1"/>
  <c r="G167" i="4" s="1"/>
  <c r="G168" i="4" s="1"/>
  <c r="G159" i="4"/>
  <c r="G160" i="4" s="1"/>
  <c r="G161" i="4" s="1"/>
  <c r="G162" i="4" s="1"/>
  <c r="G177" i="4"/>
  <c r="G178" i="4" s="1"/>
  <c r="G179" i="4" s="1"/>
  <c r="G180" i="4" s="1"/>
  <c r="D303" i="2"/>
  <c r="D304" i="2" s="1"/>
  <c r="D305" i="2" s="1"/>
  <c r="D308" i="2" s="1"/>
  <c r="D284" i="2"/>
  <c r="D288" i="2"/>
  <c r="D291" i="2" s="1"/>
  <c r="D292" i="2" s="1"/>
  <c r="D293" i="2" s="1"/>
  <c r="D294" i="2" s="1"/>
  <c r="D295" i="2" s="1"/>
  <c r="C369" i="2"/>
  <c r="C368" i="2"/>
  <c r="U22" i="3"/>
  <c r="S22" i="3"/>
  <c r="O4" i="3"/>
  <c r="P4" i="3"/>
  <c r="S4" i="3"/>
  <c r="T4" i="3" s="1"/>
  <c r="U4" i="3"/>
  <c r="V4" i="3" s="1"/>
  <c r="I314" i="2" l="1"/>
  <c r="I315" i="2"/>
  <c r="I317" i="2"/>
  <c r="F365" i="2"/>
  <c r="E153" i="2"/>
  <c r="E152" i="2"/>
  <c r="E77" i="2"/>
  <c r="E73" i="2"/>
  <c r="E72" i="2"/>
  <c r="K67" i="2"/>
  <c r="D67" i="2"/>
  <c r="B74" i="2" s="1"/>
  <c r="E74" i="2" s="1"/>
  <c r="F72" i="2" l="1"/>
  <c r="F74" i="2"/>
  <c r="B75" i="2" s="1"/>
  <c r="E78" i="2" s="1"/>
  <c r="C472" i="1"/>
  <c r="C471" i="1"/>
  <c r="C470" i="1"/>
  <c r="C468" i="1"/>
  <c r="C533" i="1" l="1"/>
  <c r="C534" i="1"/>
  <c r="C535" i="1" s="1"/>
  <c r="F11" i="1"/>
  <c r="F12" i="1"/>
  <c r="F13" i="1"/>
  <c r="F14" i="1"/>
  <c r="F15" i="1"/>
  <c r="F16" i="1"/>
  <c r="F17" i="1"/>
  <c r="F18" i="1"/>
  <c r="F19" i="1"/>
  <c r="F20" i="1"/>
  <c r="F21" i="1"/>
  <c r="F22" i="1"/>
  <c r="F10" i="1"/>
  <c r="D23" i="1"/>
  <c r="H5" i="1"/>
  <c r="E227" i="1" s="1"/>
  <c r="H4" i="1"/>
  <c r="H3" i="1"/>
  <c r="E534" i="1" l="1"/>
  <c r="C467" i="1"/>
  <c r="E229" i="1"/>
  <c r="F264" i="1" s="1"/>
  <c r="F23" i="1"/>
  <c r="E28" i="1" s="1"/>
</calcChain>
</file>

<file path=xl/comments1.xml><?xml version="1.0" encoding="utf-8"?>
<comments xmlns="http://schemas.openxmlformats.org/spreadsheetml/2006/main">
  <authors>
    <author xml:space="preserve"> </author>
  </authors>
  <commentList>
    <comment ref="C10" authorId="0" shapeId="0">
      <text>
        <r>
          <rPr>
            <b/>
            <u/>
            <sz val="10"/>
            <color indexed="81"/>
            <rFont val="Arial"/>
            <family val="2"/>
          </rPr>
          <t>Wall Displacement Required to Develop Active and Passive Conditions</t>
        </r>
        <r>
          <rPr>
            <b/>
            <sz val="10"/>
            <color indexed="81"/>
            <rFont val="Arial"/>
            <family val="2"/>
          </rPr>
          <t xml:space="preserve">
</t>
        </r>
        <r>
          <rPr>
            <u/>
            <sz val="10"/>
            <color indexed="81"/>
            <rFont val="Arial"/>
            <family val="2"/>
          </rPr>
          <t>Soil Type and Condition</t>
        </r>
        <r>
          <rPr>
            <sz val="10"/>
            <color indexed="81"/>
            <rFont val="Arial"/>
            <family val="2"/>
          </rPr>
          <t xml:space="preserve">     </t>
        </r>
        <r>
          <rPr>
            <u/>
            <sz val="10"/>
            <color indexed="81"/>
            <rFont val="Symbol"/>
            <family val="1"/>
            <charset val="2"/>
          </rPr>
          <t>D</t>
        </r>
        <r>
          <rPr>
            <u/>
            <sz val="10"/>
            <color indexed="81"/>
            <rFont val="Arial"/>
            <family val="2"/>
          </rPr>
          <t>/H for Active State</t>
        </r>
        <r>
          <rPr>
            <sz val="10"/>
            <color indexed="81"/>
            <rFont val="Arial"/>
            <family val="2"/>
          </rPr>
          <t xml:space="preserve">     </t>
        </r>
        <r>
          <rPr>
            <u/>
            <sz val="10"/>
            <color indexed="81"/>
            <rFont val="Symbol"/>
            <family val="1"/>
            <charset val="2"/>
          </rPr>
          <t>D</t>
        </r>
        <r>
          <rPr>
            <u/>
            <sz val="10"/>
            <color indexed="81"/>
            <rFont val="Arial"/>
            <family val="2"/>
          </rPr>
          <t>/H for Passive State</t>
        </r>
        <r>
          <rPr>
            <sz val="10"/>
            <color indexed="81"/>
            <rFont val="Arial"/>
            <family val="2"/>
          </rPr>
          <t xml:space="preserve">
       Dense Sand                        0.0005                         0.002
       Loose Sand                         0.002                          0.006
         Stiff Clay                             0.01                           0.02
         Soft Clay                             0.02                           0.04
where: </t>
        </r>
        <r>
          <rPr>
            <sz val="10"/>
            <color indexed="81"/>
            <rFont val="Symbol"/>
            <family val="1"/>
            <charset val="2"/>
          </rPr>
          <t>D</t>
        </r>
        <r>
          <rPr>
            <sz val="10"/>
            <color indexed="81"/>
            <rFont val="Arial"/>
            <family val="2"/>
          </rPr>
          <t xml:space="preserve"> = horizontal displacement of wall
           H =  height of wall
Reference: NAVFAC DM 7-02 Manual (1986)</t>
        </r>
      </text>
    </comment>
  </commentList>
</comments>
</file>

<file path=xl/sharedStrings.xml><?xml version="1.0" encoding="utf-8"?>
<sst xmlns="http://schemas.openxmlformats.org/spreadsheetml/2006/main" count="612" uniqueCount="478">
  <si>
    <t>Length of Floor, L=</t>
  </si>
  <si>
    <t>Width of Floor, W=</t>
  </si>
  <si>
    <t>ft</t>
  </si>
  <si>
    <t>Height of Building, H=</t>
  </si>
  <si>
    <t>=</t>
  </si>
  <si>
    <t>m</t>
  </si>
  <si>
    <t>(including Water tank and Lift)</t>
  </si>
  <si>
    <t>subsoil investigation data (for borehole no.1)</t>
  </si>
  <si>
    <t>stiff clay</t>
  </si>
  <si>
    <t xml:space="preserve">loose silty sand </t>
  </si>
  <si>
    <t>shale</t>
  </si>
  <si>
    <t>depth (m)</t>
  </si>
  <si>
    <t>SPT(N)</t>
  </si>
  <si>
    <t>SPT(N)=</t>
  </si>
  <si>
    <t>field uncorrected SPT value of layer i</t>
  </si>
  <si>
    <t>depth/SPT (d/N)</t>
  </si>
  <si>
    <t>site class=</t>
  </si>
  <si>
    <t>SC</t>
  </si>
  <si>
    <t>seismic zone co-efficient, Z=</t>
  </si>
  <si>
    <t>(for Chittagong)</t>
  </si>
  <si>
    <t>Structural Importance factor I,</t>
  </si>
  <si>
    <t>Here , Importance factor I (from Table 6.2.17)=</t>
  </si>
  <si>
    <t>(page619)</t>
  </si>
  <si>
    <t>Ct=</t>
  </si>
  <si>
    <t>m=</t>
  </si>
  <si>
    <t>Calculate Time period, T=</t>
  </si>
  <si>
    <t>(from Table 6.2.20, P-631)=</t>
  </si>
  <si>
    <t>if the structure is rigid, etabs diaphram d=rigid</t>
  </si>
  <si>
    <t>Page 517, check whether the structure is rigid, or semi rigid</t>
  </si>
  <si>
    <t>frequency, f=1/T=</t>
  </si>
  <si>
    <t>the structure is rigid, etabs diaphram d=</t>
  </si>
  <si>
    <t>Zone=</t>
  </si>
  <si>
    <t>Seismic design category =</t>
  </si>
  <si>
    <t>D</t>
  </si>
  <si>
    <t xml:space="preserve"> Deflection Amplification Factor Cd=</t>
  </si>
  <si>
    <t>Response Reduction Factor, R=</t>
  </si>
  <si>
    <t xml:space="preserve"> System Overstrength Factor, Ω=</t>
  </si>
  <si>
    <t>(from Table 6.2.19, P-624)=</t>
  </si>
  <si>
    <t xml:space="preserve">Seismic Design Parameters for Alternative Method of Base Shear Calculation </t>
  </si>
  <si>
    <t>(Table 6.C.1: P-1618)</t>
  </si>
  <si>
    <t>Ss=</t>
  </si>
  <si>
    <t>Sc=</t>
  </si>
  <si>
    <t>long period transition period=</t>
  </si>
  <si>
    <t>sec.</t>
  </si>
  <si>
    <t>Fa=</t>
  </si>
  <si>
    <t>Fv=</t>
  </si>
  <si>
    <t>(from Table 6.2.16, P-619)=</t>
  </si>
  <si>
    <t>Ta=</t>
  </si>
  <si>
    <t>Tc=</t>
  </si>
  <si>
    <t>Td=</t>
  </si>
  <si>
    <t>T=</t>
  </si>
  <si>
    <t>P-615</t>
  </si>
  <si>
    <t>S=</t>
  </si>
  <si>
    <t>ղ=</t>
  </si>
  <si>
    <t>usually 1 or 5% damping ratio)</t>
  </si>
  <si>
    <t>Sa=</t>
  </si>
  <si>
    <t>Cs=</t>
  </si>
  <si>
    <t>Z=</t>
  </si>
  <si>
    <t>I=</t>
  </si>
  <si>
    <t>R=</t>
  </si>
  <si>
    <t>β=</t>
  </si>
  <si>
    <t>Sa(min)=</t>
  </si>
  <si>
    <t>V/W=Sa=</t>
  </si>
  <si>
    <t>%</t>
  </si>
  <si>
    <t>from soil test report</t>
  </si>
  <si>
    <t xml:space="preserve"> corrected SPT value N=</t>
  </si>
  <si>
    <t>form Table 6.2.13,P-612 we get</t>
  </si>
  <si>
    <t>form Table 6.2.14, 6.2.15, P-618 we get</t>
  </si>
  <si>
    <t>Here , occupancy type  (from Table 6.1.1, P-683)=</t>
  </si>
  <si>
    <t>(from Table 6.2.18, P-620)</t>
  </si>
  <si>
    <t>1.Velocity pressure equation, P-559</t>
  </si>
  <si>
    <t>Scope: Buildings and other structures, including the Main Wind-Force Resisting</t>
  </si>
  <si>
    <t>System (MWFRS) and all components and cladding thereof, shall be designed and</t>
  </si>
  <si>
    <t>constructed to resist wind loads as specified herein.</t>
  </si>
  <si>
    <t>Allowed Procedures: The design wind loads for buildings and other structures,</t>
  </si>
  <si>
    <t>including the MWFRS and component and cladding elements thereof, shall be</t>
  </si>
  <si>
    <t>determined using one of the following procedures:</t>
  </si>
  <si>
    <t>Method 1: Simplified Procedure as specified in Sec 2.4.2 for buildings and</t>
  </si>
  <si>
    <t>structures meeting the requirements specified therein;</t>
  </si>
  <si>
    <t>Method 2: Analytical Procedure as specified in Sec 2.4.3 for buildings and</t>
  </si>
  <si>
    <t>Method 3: Wind Tunnel Procedure as specified in Sec 2.4.16</t>
  </si>
  <si>
    <t>2. windward and leeward coefficient (P-574):</t>
  </si>
  <si>
    <t>L=</t>
  </si>
  <si>
    <t>B=</t>
  </si>
  <si>
    <t>L/B=</t>
  </si>
  <si>
    <t>along X- direction</t>
  </si>
  <si>
    <t>along  Y- direction</t>
  </si>
  <si>
    <t>interpolation</t>
  </si>
  <si>
    <t>windward coeeficient=</t>
  </si>
  <si>
    <t>Leeward coefficient=</t>
  </si>
  <si>
    <t>3. wind speed, P-603</t>
  </si>
  <si>
    <t>4. Surface roughness categories, P-554</t>
  </si>
  <si>
    <t xml:space="preserve"> 2.4.6.2 Surface roughness categories</t>
  </si>
  <si>
    <t>A ground surface roughness within each 45o</t>
  </si>
  <si>
    <t xml:space="preserve"> sector shall be determined for a distance</t>
  </si>
  <si>
    <t>upwind of the site as defined in Sec 2.4.6.3 from the categories defined in the</t>
  </si>
  <si>
    <t>following text, for the purpose of assigning an exposure category as defined in</t>
  </si>
  <si>
    <t>Sec 2.4.6.3.</t>
  </si>
  <si>
    <t>Surface Roughness A: Urban and suburban areas, wooded areas, or other terrain with</t>
  </si>
  <si>
    <t>numerous closely spaced obstructions having the size of single-family dwellings or</t>
  </si>
  <si>
    <t>larger.</t>
  </si>
  <si>
    <t>Surface Roughness B: Open terrain with scattered obstructions having heights</t>
  </si>
  <si>
    <t>generally less than 9.1 m. This category includes flat open country, grasslands, and</t>
  </si>
  <si>
    <t>all water surfaces in cyclone prone regions.</t>
  </si>
  <si>
    <t>Surface Roughness C: Flat, unobstructed areas and water surfaces outside cyclone</t>
  </si>
  <si>
    <t>prone regions. This category includes smooth mud flats and salt flats.</t>
  </si>
  <si>
    <t>2.4.6.3 Exposure categories</t>
  </si>
  <si>
    <t>Exposure A: Exposure A shall apply where the ground surface roughness condition,</t>
  </si>
  <si>
    <t>as defined by Surface Roughness A, prevails in the upwind direction for a distance of</t>
  </si>
  <si>
    <t>at least 792 m or 20 times the height of the building, whichever is greater.</t>
  </si>
  <si>
    <t>Exception: For buildings whose mean roof height is less than or equal to 9.1 m, the</t>
  </si>
  <si>
    <t>upwind distance may be reduced to 457 m.</t>
  </si>
  <si>
    <t>Exposure B: Exposure B shall apply for all cases where Exposures A or C do not</t>
  </si>
  <si>
    <t>apply.</t>
  </si>
  <si>
    <t>Exposure C: Exposure C shall apply where the ground surface roughness, as</t>
  </si>
  <si>
    <t>defined by Surface Roughness C, prevails in the upwind direction for a distance</t>
  </si>
  <si>
    <t>greater than 1,524 m or 20 times the building height, whichever is greater.</t>
  </si>
  <si>
    <t>Exposure C shall extend into downwind areas of Surface Roughness A or B for a</t>
  </si>
  <si>
    <t>distance of 200 m or 20 times the height of the building, whichever is greater.</t>
  </si>
  <si>
    <t>For a site located in the transition zone between exposure categories, the</t>
  </si>
  <si>
    <t>category resulting in the largest wind forces shall be used.</t>
  </si>
  <si>
    <t>Exception: An intermediate exposure between the preceding categories is</t>
  </si>
  <si>
    <t>permitted in a transition zone provided that it is determined by a rational</t>
  </si>
  <si>
    <t>analysis method defined in the recognized literature</t>
  </si>
  <si>
    <t>say Exposure type=</t>
  </si>
  <si>
    <t>A</t>
  </si>
  <si>
    <t>5. occupancy category=</t>
  </si>
  <si>
    <t>6. importance factor=</t>
  </si>
  <si>
    <t>(same as seismic, P-483)</t>
  </si>
  <si>
    <t>7. Topographic factor (P-556)</t>
  </si>
  <si>
    <t>Kzt=</t>
  </si>
  <si>
    <t>8. Gust Effect Factor, P-556</t>
  </si>
  <si>
    <t>for rigid structure, when f&gt;1, gust factor=</t>
  </si>
  <si>
    <t xml:space="preserve">for semi-rigid structure, when f&lt;1, gust factor= </t>
  </si>
  <si>
    <t xml:space="preserve">9. Wind Directionality Factor, P-606 </t>
  </si>
  <si>
    <t>Wind Directionality Factor, Kd=</t>
  </si>
  <si>
    <t>the Center of mass and rigidity</t>
  </si>
  <si>
    <t>the Eccentricity</t>
  </si>
  <si>
    <t>Story</t>
  </si>
  <si>
    <t>Diaphragms</t>
  </si>
  <si>
    <t>Mass X</t>
  </si>
  <si>
    <t>Mass y</t>
  </si>
  <si>
    <t>C.M</t>
  </si>
  <si>
    <t>Cumulative x</t>
  </si>
  <si>
    <t>Cumulative Y</t>
  </si>
  <si>
    <t>XCCM</t>
  </si>
  <si>
    <t>YCCm</t>
  </si>
  <si>
    <t>C.R</t>
  </si>
  <si>
    <t>Eccentricity</t>
  </si>
  <si>
    <t>Dimension</t>
  </si>
  <si>
    <t>ex/Dx result</t>
  </si>
  <si>
    <t>ey/Dy result</t>
  </si>
  <si>
    <r>
      <t>x</t>
    </r>
    <r>
      <rPr>
        <b/>
        <vertAlign val="subscript"/>
        <sz val="14"/>
        <color theme="1"/>
        <rFont val="Times New Roman"/>
        <family val="1"/>
      </rPr>
      <t>m</t>
    </r>
  </si>
  <si>
    <r>
      <t>y</t>
    </r>
    <r>
      <rPr>
        <b/>
        <vertAlign val="subscript"/>
        <sz val="14"/>
        <color theme="1"/>
        <rFont val="Times New Roman"/>
        <family val="1"/>
      </rPr>
      <t>m</t>
    </r>
  </si>
  <si>
    <t>XCR</t>
  </si>
  <si>
    <t>YCR</t>
  </si>
  <si>
    <r>
      <t>e</t>
    </r>
    <r>
      <rPr>
        <b/>
        <vertAlign val="subscript"/>
        <sz val="14"/>
        <color theme="1"/>
        <rFont val="Times New Roman"/>
        <family val="1"/>
      </rPr>
      <t>x</t>
    </r>
  </si>
  <si>
    <r>
      <t>e</t>
    </r>
    <r>
      <rPr>
        <b/>
        <vertAlign val="subscript"/>
        <sz val="14"/>
        <color theme="1"/>
        <rFont val="Times New Roman"/>
        <family val="1"/>
      </rPr>
      <t>y</t>
    </r>
  </si>
  <si>
    <t>s</t>
  </si>
  <si>
    <t>Center of Stiffness = Center of Rigidity</t>
  </si>
  <si>
    <t>-&gt; Center of Stiffness (CM)                    -&gt;  Center of Rigidity (CR)</t>
  </si>
  <si>
    <r>
      <rPr>
        <b/>
        <sz val="22"/>
        <color rgb="FFFF0000"/>
        <rFont val="Times New Roman"/>
        <family val="1"/>
      </rPr>
      <t xml:space="preserve">Note: Allowable Eccentricity. </t>
    </r>
    <r>
      <rPr>
        <b/>
        <sz val="22"/>
        <color theme="1"/>
        <rFont val="Times New Roman"/>
        <family val="1"/>
      </rPr>
      <t xml:space="preserve">                                              e</t>
    </r>
    <r>
      <rPr>
        <b/>
        <vertAlign val="subscript"/>
        <sz val="22"/>
        <color theme="1"/>
        <rFont val="Times New Roman"/>
        <family val="1"/>
      </rPr>
      <t>x</t>
    </r>
    <r>
      <rPr>
        <b/>
        <sz val="22"/>
        <color theme="1"/>
        <rFont val="Times New Roman"/>
        <family val="1"/>
      </rPr>
      <t xml:space="preserve"> </t>
    </r>
    <r>
      <rPr>
        <b/>
        <u/>
        <sz val="22"/>
        <color theme="1"/>
        <rFont val="Times New Roman"/>
        <family val="1"/>
      </rPr>
      <t>&lt;</t>
    </r>
    <r>
      <rPr>
        <b/>
        <sz val="22"/>
        <color theme="1"/>
        <rFont val="Times New Roman"/>
        <family val="1"/>
      </rPr>
      <t xml:space="preserve"> 15 % of Dx  |  e</t>
    </r>
    <r>
      <rPr>
        <b/>
        <vertAlign val="subscript"/>
        <sz val="22"/>
        <color theme="1"/>
        <rFont val="Times New Roman"/>
        <family val="1"/>
      </rPr>
      <t>y</t>
    </r>
    <r>
      <rPr>
        <b/>
        <sz val="22"/>
        <color theme="1"/>
        <rFont val="Times New Roman"/>
        <family val="1"/>
      </rPr>
      <t xml:space="preserve"> &lt; 15 % of Dy</t>
    </r>
  </si>
  <si>
    <t>e1=ex=</t>
  </si>
  <si>
    <t>e2=ey=</t>
  </si>
  <si>
    <t>2.7.3.1 Basic combinations</t>
  </si>
  <si>
    <t xml:space="preserve"> 1. 1.4(D + F)</t>
  </si>
  <si>
    <t xml:space="preserve"> 2. 1.2(D + F + T) + 1.6(L + H) + 0.5(Lr or R)</t>
  </si>
  <si>
    <t xml:space="preserve"> 3. 1.2D + 1.6(Lr or R) + (L or 0.8W)</t>
  </si>
  <si>
    <t xml:space="preserve"> 4. 1.2D + 1.6W + L + 0.5(Lr or R)</t>
  </si>
  <si>
    <t xml:space="preserve"> 5. 1.2D + 1.0E + 1.0L</t>
  </si>
  <si>
    <t xml:space="preserve"> 6. 0.9D + 1.6W + 1.6H</t>
  </si>
  <si>
    <t xml:space="preserve"> 7. 0.9D + 1.0E + 1.6H</t>
  </si>
  <si>
    <t>Each relevant strength limit state shall be investigated. Effects of one or more loads</t>
  </si>
  <si>
    <t>not acting shall be investigated. The most unfavorable effect from both wind and</t>
  </si>
  <si>
    <t>earthquake loads shall be investigated, where appropriate, but they need not be</t>
  </si>
  <si>
    <t>considered to act simultaneously.</t>
  </si>
  <si>
    <t>Exceptions:</t>
  </si>
  <si>
    <t>1. The load factor on live load L in combinations (3), (4), and (5) is</t>
  </si>
  <si>
    <t>permitted to be reduced to 0.5 for all occupancies in which minimum</t>
  </si>
  <si>
    <t>specified uniformly distributed live load is less than or equal to 5.0</t>
  </si>
  <si>
    <t>kN/m2</t>
  </si>
  <si>
    <t>, with the exception of garages or areas occupied as places of</t>
  </si>
  <si>
    <t>public assembly.</t>
  </si>
  <si>
    <t>2. The load factor on H shall be set equal to zero in combinations (6) and (7)</t>
  </si>
  <si>
    <t>if the structural action due to H counteracts that due to W or E. Where</t>
  </si>
  <si>
    <t>lateral earth pressure provides resistance to structural actions from other</t>
  </si>
  <si>
    <t>forces, it shall not be included in H but shall be included in the design</t>
  </si>
  <si>
    <t>resistance.</t>
  </si>
  <si>
    <t>3. For structures designed in accordance with the provisions of Chapter 6,</t>
  </si>
  <si>
    <t>Part 6 of this Code (reinforced concrete structures), where wind load W</t>
  </si>
  <si>
    <t>has not been reduced by a directionality factor, it shall be permitted to use</t>
  </si>
  <si>
    <t>1.3W in place of 1.6W in (4) and (6) above.</t>
  </si>
  <si>
    <t>When a structure is located in a flood zone or in tidal surge zone, the following load</t>
  </si>
  <si>
    <t>combinations shall be considered:</t>
  </si>
  <si>
    <t>1. In Coastal Zones vulnerable to tidal surges, 1.6W shall be replaced by</t>
  </si>
  <si>
    <t>1.6W+2.0Fa in combinations (4) and (6).</t>
  </si>
  <si>
    <t>2. In Non-coastal Zones, 1.6W shall be replaced by 0.8W+1.0Fa in combinations</t>
  </si>
  <si>
    <t>(4) and (6)</t>
  </si>
  <si>
    <t>(For symbol and notification see BNBC 3103)</t>
  </si>
  <si>
    <t>D = Dead loads, or related internal moments and forces, Dead load</t>
  </si>
  <si>
    <t>consists of: a) weight of the member itself, b) weight of all materials</t>
  </si>
  <si>
    <t>of construction incorporated into the building to be permanently</t>
  </si>
  <si>
    <t>supported by the member, including built-in partitions, c) weight of</t>
  </si>
  <si>
    <t>permanent equipment (as used in Sec 2.7).</t>
  </si>
  <si>
    <t>F = Design wind force for other structures, in N (as used in Sec 2.4).</t>
  </si>
  <si>
    <t>F = Loads due to weight and pressures of fluids with well-defined</t>
  </si>
  <si>
    <t>densities and controllable maximum heights or related internal</t>
  </si>
  <si>
    <t>moments and forces (as used in Sec 2.7).</t>
  </si>
  <si>
    <t>///////////</t>
  </si>
  <si>
    <t>T = Fundamental period of vibration of structure, in seconds, of the</t>
  </si>
  <si>
    <t>structure in the direction under consideration. (as used in Sec 2.5)</t>
  </si>
  <si>
    <t>T = Self-straining forces and cumulative effect of temperature, creep,</t>
  </si>
  <si>
    <t>shrinkage, differential settlement, and shrinkage-compensating</t>
  </si>
  <si>
    <t>concrete, or combinations thereof, or related internal moments and</t>
  </si>
  <si>
    <t>forces. (as used in Sec 2.7)</t>
  </si>
  <si>
    <t>/////</t>
  </si>
  <si>
    <t>L = Horizontal dimension of a building measured parallel to the wind</t>
  </si>
  <si>
    <t>direction, in m (as used in Sec 2.4)</t>
  </si>
  <si>
    <t>L = Live loads due to intended use and occupancy, including loads due to</t>
  </si>
  <si>
    <t>movable objects and movable partitions and loads temporarily</t>
  </si>
  <si>
    <t>supported by the structure during maintenance, or related internal</t>
  </si>
  <si>
    <t>moments and forces, 6 includes any permissible reduction. If</t>
  </si>
  <si>
    <t>resistance to impact loads is taken into account in design, such</t>
  </si>
  <si>
    <t>effects shall be included with the live load 6. (as used in Sec 2.7).</t>
  </si>
  <si>
    <t>////////</t>
  </si>
  <si>
    <t>H = Height of hill or escarpment in Figure 6.2.4 in m.</t>
  </si>
  <si>
    <t xml:space="preserve"> </t>
  </si>
  <si>
    <t>H = Loads due to weight and pressure of soil, water in soil, or other</t>
  </si>
  <si>
    <t>materials, or related internal moments and forces (as used in Sec 2.7)</t>
  </si>
  <si>
    <t>/////////////</t>
  </si>
  <si>
    <t>Lr = Roof live loads, or related internal moments and forces. (as used in</t>
  </si>
  <si>
    <t>Sec 2.7)</t>
  </si>
  <si>
    <t>Lr = Horizontal dimension of return corner for a solid freestanding wall or</t>
  </si>
  <si>
    <t>solid sign from Figure 6.2.20, in m. (as used in Sec 2.4)</t>
  </si>
  <si>
    <t>///////</t>
  </si>
  <si>
    <t>R = Resonant response factor from Eq. 6.2.12</t>
  </si>
  <si>
    <t>R = Response reduction factor for structural systems. (as used in Sec 2.5)</t>
  </si>
  <si>
    <t>R = Rain load, or related internal moments and forces. (as used in Sec</t>
  </si>
  <si>
    <t>2.7}</t>
  </si>
  <si>
    <t>W = Width of building in Figures 6.2.12, 6.2.14(a) and 6.2.14(b), and</t>
  </si>
  <si>
    <t>width of span in Figures 6.2.13 and 6.2.15 in m.</t>
  </si>
  <si>
    <t>W = Total seismic weight of building. (as used in Sec 2.5)</t>
  </si>
  <si>
    <t>W = Wind load, or related internal moments and forces. (as used in Sec</t>
  </si>
  <si>
    <t>2.7)</t>
  </si>
  <si>
    <r>
      <t xml:space="preserve">E = Total load effects of earthquake that include both horizontal and vertical, or related internal moments and forces. The horizontal seismic load effect shall include system overstrength factor, 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o, if applicable. For specific definition of the earthquake load effect, %, see Sec 2.5.</t>
    </r>
  </si>
  <si>
    <t>////////////</t>
  </si>
  <si>
    <t>Basic Load combination: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</si>
  <si>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1.4 DL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</si>
  <si>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2. 1.2 DL+1.6 LL+0.5 Lr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</si>
  <si>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1.2DL+1.6Lr+LL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</si>
  <si>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1.2DL+1.6Lr+0.8W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</si>
  <si>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1.2DL+1.6W+LL+0.5Lr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</si>
  <si>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1.2DL+EQ+LL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</si>
  <si>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0.9DL+1.6W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</si>
  <si>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0.9DL+EQ</t>
    </r>
  </si>
  <si>
    <t>Modified Load combination:</t>
  </si>
  <si>
    <t>(Directly applicable this load combination for seismic category B)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</si>
  <si>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1.2DL+1.6Lr+0.8Wx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</si>
  <si>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1.2DL+1.6Lr-0.8Wx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</si>
  <si>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1.2DL+1.6Lr+0.8Wy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</si>
  <si>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1.2DL+1.6Lr-0.8Wy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</si>
  <si>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1.2DL+1.6W+LL+0.5Lr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</si>
  <si>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1.2DL-1.6Wx+LL+0.5Lr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</si>
  <si>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1.2DL+1.6Wy+LL+0.5Lr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</si>
  <si>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1.2DL-1.6Wy+LL+0.5Lr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</si>
  <si>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1.2DL+EQx+LL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</si>
  <si>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1.2DL-EQx+LL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</si>
  <si>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1.2DL+EQy+LL</t>
    </r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</si>
  <si>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1.2DL-EQy+LL</t>
    </r>
  </si>
  <si>
    <r>
      <t>16.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0.9DL+1.6Wx</t>
    </r>
  </si>
  <si>
    <r>
      <t>17.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0.9DL-1.6Wx</t>
    </r>
  </si>
  <si>
    <r>
      <t>18.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0.9DL+1.6Wy</t>
    </r>
  </si>
  <si>
    <r>
      <t>19.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0.9DL-1.6Wy</t>
    </r>
  </si>
  <si>
    <r>
      <t>20.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0.9DL+EQx</t>
    </r>
  </si>
  <si>
    <r>
      <t>21.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0.9DL-EQx</t>
    </r>
  </si>
  <si>
    <r>
      <t>22.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0.9DL+EQy</t>
    </r>
  </si>
  <si>
    <r>
      <t>23.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0.9DL-EQy</t>
    </r>
  </si>
  <si>
    <t>2.5.13 Earthquake Load Effects and Load Combinations</t>
  </si>
  <si>
    <t>The seismic load effect, E, shall be determined in accordance with the following:</t>
  </si>
  <si>
    <t>1. For use in load combination 5 in Section 2.7.3 or load combination 5 and 6</t>
  </si>
  <si>
    <t>in Section 2.7.2, E shall be determined in accordance with the following</t>
  </si>
  <si>
    <t>equation,</t>
  </si>
  <si>
    <t>2. For use in load combination 7 in Section 2.7.3 or load combination 8 in</t>
  </si>
  <si>
    <t>Section 2.7.2, E shall be determined in accordance with following equation,</t>
  </si>
  <si>
    <t>Where,</t>
  </si>
  <si>
    <t>E = total seismic load effect</t>
  </si>
  <si>
    <t>Eh = effect of horizontal seismic forces as defined in Sections 2.5.7 or 2.5.9</t>
  </si>
  <si>
    <t>Ev = effect of vertical seismic forces as defined in Section 2.5.13.2</t>
  </si>
  <si>
    <t>2.5.13.1 Horizontal earthquake loading, Eh</t>
  </si>
  <si>
    <t>The horizontal seismic load effect, Eh, shall be taken as the horizontal load</t>
  </si>
  <si>
    <t>effects of seismic base shear V (Sec 2.5.7 or 2.5.9) or component forces Fc (Sec</t>
  </si>
  <si>
    <t>2.5.15).</t>
  </si>
  <si>
    <t>The directions of application of horizontal seismic forces for design shall be</t>
  </si>
  <si>
    <t>those which will produce the most critical load effects. Earthquake forces act in</t>
  </si>
  <si>
    <t>both principal directions of the building simultaneously. In order to account for</t>
  </si>
  <si>
    <t>that,</t>
  </si>
  <si>
    <t>(a) For structures of Seismic Design Category B, the design horizontal</t>
  </si>
  <si>
    <t>seismic forces are permitted to be applied independently in each of</t>
  </si>
  <si>
    <t>two orthogonal directions and orthogonal interaction effects are</t>
  </si>
  <si>
    <t>permitted to be neglected</t>
  </si>
  <si>
    <t>(b) Structures of Seismic Design Category C and D shall, as a minimum,</t>
  </si>
  <si>
    <t>conform to the requirements of (a) for Seismic Design Category B and</t>
  </si>
  <si>
    <t>in addition the requirements of this Section. The structure of Seismic</t>
  </si>
  <si>
    <t>Design Category C with plan irregularity type V and Seismic Design</t>
  </si>
  <si>
    <t>Category D shall be designed for 100% of the horizontal seismic</t>
  </si>
  <si>
    <t>forces in one principal direction combined with 30% of the</t>
  </si>
  <si>
    <t>horizontal seismic forces in the orthogonal direction. Possible</t>
  </si>
  <si>
    <t>combinations are:</t>
  </si>
  <si>
    <t>“+/-100% in x-direction +/-30% in y-direction” or</t>
  </si>
  <si>
    <t>+/-30% in x-direction +/-100% in y-direction”</t>
  </si>
  <si>
    <t>The combination which produces most unfavourable effect for the</t>
  </si>
  <si>
    <t>particular action effect shall be considered. This approach may be</t>
  </si>
  <si>
    <t>applied to equivalent static analysis, response spectrum analysis and</t>
  </si>
  <si>
    <t>linear time history analysis procedure.</t>
  </si>
  <si>
    <t xml:space="preserve"> (c) Where three-dimensional analysis of a spatial structure model is</t>
  </si>
  <si>
    <t>performed as in 3D time history analysis, simultaneous application of</t>
  </si>
  <si>
    <t>accelerations in two directions shall be considered where the ground</t>
  </si>
  <si>
    <t>motions shall satisfy the conditions stated in Sections 2.5.10.2 or</t>
  </si>
  <si>
    <t>2.5.11.2.</t>
  </si>
  <si>
    <t>2.5.13.2 Vertical earthquake loading, Ev</t>
  </si>
  <si>
    <t>The maximum vertical ground acceleration shall be taken as 50 percent of the</t>
  </si>
  <si>
    <t>expected horizontal peak ground acceleration (PGA). The vertical seismic load</t>
  </si>
  <si>
    <t>effect Ev  may be determined as:</t>
  </si>
  <si>
    <t>Ev= 0.5 (ah) DL                   (6.2.56)</t>
  </si>
  <si>
    <t>DL= effect of dead load,</t>
  </si>
  <si>
    <t>S= site dependent soil factor (see Table 6.2.16).</t>
  </si>
  <si>
    <t>E = Eh + Ev</t>
  </si>
  <si>
    <t>E = Eh − Ev</t>
  </si>
  <si>
    <t>ah= expected horizontal peak ground acceleration (in g) for design = (2/3)ZS</t>
  </si>
  <si>
    <t>here,</t>
  </si>
  <si>
    <t>ah=</t>
  </si>
  <si>
    <t>Ev=</t>
  </si>
  <si>
    <t>DL</t>
  </si>
  <si>
    <t>1.2DL+EQx+0.3*EQy+LL</t>
  </si>
  <si>
    <t>+</t>
  </si>
  <si>
    <t>1.2DL-EQx+0.3*EQy+LL</t>
  </si>
  <si>
    <t>1.2DL+Eqx-0.3*EQy+LL</t>
  </si>
  <si>
    <t>1.2DL-Eqx-0.3*EQy+LL</t>
  </si>
  <si>
    <t>1.2DL+0.3*EQx+EQy+LL</t>
  </si>
  <si>
    <t>1.2DL-0.3*EQx+EQy+LL</t>
  </si>
  <si>
    <t>1.2DL+0.3*Eqx-EQy+LL</t>
  </si>
  <si>
    <t>1.2DL-0.3*Eqx-EQy+LL</t>
  </si>
  <si>
    <t>0.9*DL+EQx+0.3*EQy+LL</t>
  </si>
  <si>
    <t>0.9*DL-EQx+0.3*EQy+LL</t>
  </si>
  <si>
    <t>0.9*DL+Eqx-0.3*EQy+LL</t>
  </si>
  <si>
    <t>0.9*DL-Eqx-0.3*EQy+LL</t>
  </si>
  <si>
    <t>0.9*DL+0.3*EQx+EQy+LL</t>
  </si>
  <si>
    <t>0.9*DL-0.3*EQx+EQy+LL</t>
  </si>
  <si>
    <t>0.9*DL+0.3*Eqx-EQy+LL</t>
  </si>
  <si>
    <t>0.9*DL-0.3*Eqx-EQy+LL</t>
  </si>
  <si>
    <t>(Directly applicable this load combination for seismic category C(v) and D)</t>
  </si>
  <si>
    <r>
      <t>(it is</t>
    </r>
    <r>
      <rPr>
        <b/>
        <sz val="11"/>
        <color theme="1"/>
        <rFont val="Calibri"/>
        <family val="2"/>
        <scheme val="minor"/>
      </rPr>
      <t xml:space="preserve"> B</t>
    </r>
    <r>
      <rPr>
        <sz val="11"/>
        <color theme="1"/>
        <rFont val="Calibri"/>
        <family val="2"/>
        <scheme val="minor"/>
      </rPr>
      <t xml:space="preserve"> for Etabs)</t>
    </r>
  </si>
  <si>
    <t>(different from seismic, P-604, Table-6.2.9)</t>
  </si>
  <si>
    <t>h=</t>
  </si>
  <si>
    <t>&gt;</t>
  </si>
  <si>
    <t>Zmin (m)</t>
  </si>
  <si>
    <t>Exposure</t>
  </si>
  <si>
    <t>Z'=0.6*h=</t>
  </si>
  <si>
    <t>c=</t>
  </si>
  <si>
    <t>(from table 6.2.10, P-605)</t>
  </si>
  <si>
    <t>Iz=</t>
  </si>
  <si>
    <t>gq=gv=</t>
  </si>
  <si>
    <t>l=</t>
  </si>
  <si>
    <t>€=</t>
  </si>
  <si>
    <t>Lz=</t>
  </si>
  <si>
    <t>(B+h)/Lz=</t>
  </si>
  <si>
    <t>((B+h)/Lz)^0.63=</t>
  </si>
  <si>
    <t>0.63*((B+h)/Lz)^0.63=</t>
  </si>
  <si>
    <t>1+0.63*((B+h)/Lz)^0.63=</t>
  </si>
  <si>
    <t>Q=</t>
  </si>
  <si>
    <t>For flexible or dynamically sensitive structures as defined in Sec 2.1.3 (natural period greater than 1.0 second), the gust-effect factor shall be</t>
  </si>
  <si>
    <t>α'=</t>
  </si>
  <si>
    <t>β'=</t>
  </si>
  <si>
    <t>z'=</t>
  </si>
  <si>
    <t>z'/10=</t>
  </si>
  <si>
    <t>(z'/10)^α'=</t>
  </si>
  <si>
    <t>V=</t>
  </si>
  <si>
    <t>m/s</t>
  </si>
  <si>
    <t>b=</t>
  </si>
  <si>
    <t>Vz=</t>
  </si>
  <si>
    <t>ղ1=</t>
  </si>
  <si>
    <t>Kh=kz=</t>
  </si>
  <si>
    <t>(from table 6.2.11, P-605)</t>
  </si>
  <si>
    <t>2.4.3.4 Design procedure</t>
  </si>
  <si>
    <t>(1) The basic wind speed _x0015_ and wind directionality factor 0­ shall be</t>
  </si>
  <si>
    <t>determined in accordance with Sec 2.4.4.</t>
  </si>
  <si>
    <t>(2) An importance factor . shall be determined in accordance with Sec 2.4.5.</t>
  </si>
  <si>
    <t>(3) An exposure category or exposure categories and velocity pressure</t>
  </si>
  <si>
    <t>exposure coefficient 0/</t>
  </si>
  <si>
    <t xml:space="preserve"> or 03, as applicable, shall be determined for each</t>
  </si>
  <si>
    <t>wind direction in accordance with Sec 2.4.6.</t>
  </si>
  <si>
    <t>(4) A topographic factor 0/" shall be determined in accordance with Sec 2.4.7.</t>
  </si>
  <si>
    <t>(5) A gust effect factor , or ,, as applicable, shall be determined in</t>
  </si>
  <si>
    <t>accordance with Sec 2.4.8.</t>
  </si>
  <si>
    <t>(6) An enclosure classification shall be determined in accordance with Sec</t>
  </si>
  <si>
    <t>2.4.9.</t>
  </si>
  <si>
    <t>(7) Internal pressure coefficient ,‑!</t>
  </si>
  <si>
    <t xml:space="preserve"> shall be determined in accordance with</t>
  </si>
  <si>
    <t>Sec 2.4.10.1.</t>
  </si>
  <si>
    <t>(8) External pressure coefficients ‑! or ,‑!, or force coefficients ‑, as</t>
  </si>
  <si>
    <t>applicable, shall be determined in accordance with Sections 2.4.10.2 or</t>
  </si>
  <si>
    <t>2.4.10.3, respectively.</t>
  </si>
  <si>
    <t>(9) Velocity pressure X/ or X3, as applicable, shall be determined in accordance</t>
  </si>
  <si>
    <t>with Sec 2.4.9.5.</t>
  </si>
  <si>
    <t>(10) Design wind load ; or &amp; shall be determined in accordance with Sec</t>
  </si>
  <si>
    <t>2.4.11.</t>
  </si>
  <si>
    <t>Bx</t>
  </si>
  <si>
    <t>By</t>
  </si>
  <si>
    <t>Input Data:</t>
  </si>
  <si>
    <t>Wall Height, H =</t>
  </si>
  <si>
    <t>ft.</t>
  </si>
  <si>
    <t>Φ</t>
  </si>
  <si>
    <t>kcf</t>
  </si>
  <si>
    <t>deg.</t>
  </si>
  <si>
    <t>Active or At-Rest Cond.?</t>
  </si>
  <si>
    <t>At-Rest</t>
  </si>
  <si>
    <t>Surcharge Load, Q =</t>
  </si>
  <si>
    <t>ksf</t>
  </si>
  <si>
    <t>Water unit wt. Yw=</t>
  </si>
  <si>
    <t>kN/m3</t>
  </si>
  <si>
    <t>Soil unit wt. Ys=</t>
  </si>
  <si>
    <t>Surcharge Load, Qa =</t>
  </si>
  <si>
    <t>Height of water, Hw=</t>
  </si>
  <si>
    <t>Height of wall side soil, Hs=</t>
  </si>
  <si>
    <t>Angle of Friction,Ɵ</t>
  </si>
  <si>
    <t>degree</t>
  </si>
  <si>
    <t>sinƟ</t>
  </si>
  <si>
    <t>rankin Co-efficient for active soil pressure, ks=</t>
  </si>
  <si>
    <t>rankin Co-efficient for soil pressure for surcharge load, ko=</t>
  </si>
  <si>
    <t>Water pressure at bottom, Pw=yw*hw</t>
  </si>
  <si>
    <t>Soil pressure at bottom, Ps1=Ks*Ys*Hs</t>
  </si>
  <si>
    <t>Surcharge pressure at bottom, Ps2=ko*qa</t>
  </si>
  <si>
    <t>Total Pressure for case2=</t>
  </si>
  <si>
    <t>For Etabs Non Uniform pressure,</t>
  </si>
  <si>
    <t>P=Ax+By+Cz+D</t>
  </si>
  <si>
    <t>x=</t>
  </si>
  <si>
    <t>y=</t>
  </si>
  <si>
    <t>P=</t>
  </si>
  <si>
    <t>Cz+D</t>
  </si>
  <si>
    <t>say=</t>
  </si>
  <si>
    <t>For water pressure, case-1</t>
  </si>
  <si>
    <t>C=</t>
  </si>
  <si>
    <t>At, Z=</t>
  </si>
  <si>
    <t>Pressure=</t>
  </si>
  <si>
    <t>KN/m2</t>
  </si>
  <si>
    <t>D=</t>
  </si>
  <si>
    <t>For water pressure, case-2</t>
  </si>
  <si>
    <t>Earth Pressure=</t>
  </si>
  <si>
    <t>SP</t>
  </si>
  <si>
    <t>Water Pressure=</t>
  </si>
  <si>
    <t>WP</t>
  </si>
  <si>
    <t>Dead Load=</t>
  </si>
  <si>
    <t>Combination:</t>
  </si>
  <si>
    <t>Soil Pressure=</t>
  </si>
  <si>
    <t>DL (1)+WP (1)</t>
  </si>
  <si>
    <t>WP-service=</t>
  </si>
  <si>
    <t>WP (1)</t>
  </si>
  <si>
    <t>WP (ult)=</t>
  </si>
  <si>
    <t>WP (1.6)</t>
  </si>
  <si>
    <t>SP-service=</t>
  </si>
  <si>
    <t>SP (1)</t>
  </si>
  <si>
    <t>SP (ult)=</t>
  </si>
  <si>
    <t>SP (1.6)</t>
  </si>
  <si>
    <t>check for deflection:</t>
  </si>
  <si>
    <t>height of the wall/100</t>
  </si>
  <si>
    <r>
      <t>Depth to GWT, H</t>
    </r>
    <r>
      <rPr>
        <sz val="8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</si>
  <si>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Soil Dry Unit Wt., </t>
    </r>
    <r>
      <rPr>
        <sz val="10"/>
        <color indexed="8"/>
        <rFont val="Symbol"/>
        <family val="1"/>
        <charset val="2"/>
      </rPr>
      <t>g</t>
    </r>
    <r>
      <rPr>
        <sz val="8"/>
        <color indexed="8"/>
        <rFont val="Arial"/>
        <family val="2"/>
      </rPr>
      <t>s</t>
    </r>
    <r>
      <rPr>
        <sz val="10"/>
        <color indexed="8"/>
        <rFont val="Arial"/>
        <family val="2"/>
      </rPr>
      <t xml:space="preserve"> =</t>
    </r>
  </si>
  <si>
    <r>
      <t xml:space="preserve">Soil Sat. Unit Wt., </t>
    </r>
    <r>
      <rPr>
        <sz val="10"/>
        <color indexed="8"/>
        <rFont val="Symbol"/>
        <family val="1"/>
        <charset val="2"/>
      </rPr>
      <t>g</t>
    </r>
    <r>
      <rPr>
        <sz val="8"/>
        <color indexed="8"/>
        <rFont val="Arial"/>
        <family val="2"/>
      </rPr>
      <t>(sat)</t>
    </r>
    <r>
      <rPr>
        <sz val="10"/>
        <color indexed="8"/>
        <rFont val="Arial"/>
        <family val="2"/>
      </rPr>
      <t xml:space="preserve"> =</t>
    </r>
  </si>
  <si>
    <r>
      <t xml:space="preserve">Soil Friction Angle, </t>
    </r>
    <r>
      <rPr>
        <sz val="10"/>
        <color indexed="8"/>
        <rFont val="Symbol"/>
        <family val="1"/>
        <charset val="2"/>
      </rPr>
      <t>f</t>
    </r>
    <r>
      <rPr>
        <sz val="10"/>
        <color indexed="8"/>
        <rFont val="Arial"/>
        <family val="2"/>
      </rPr>
      <t>1 =</t>
    </r>
  </si>
  <si>
    <r>
      <t xml:space="preserve">Soil Friction Angle, </t>
    </r>
    <r>
      <rPr>
        <sz val="10"/>
        <color indexed="8"/>
        <rFont val="Symbol"/>
        <family val="1"/>
        <charset val="2"/>
      </rPr>
      <t>f</t>
    </r>
    <r>
      <rPr>
        <sz val="10"/>
        <color indexed="8"/>
        <rFont val="Arial"/>
        <family val="2"/>
      </rPr>
      <t>2 =</t>
    </r>
  </si>
  <si>
    <t xml:space="preserve">Loads: </t>
  </si>
  <si>
    <t>Width of Wall, B=</t>
  </si>
  <si>
    <t>Length of Wall, L=</t>
  </si>
  <si>
    <t>Loads on Bottom slab=</t>
  </si>
  <si>
    <t>Ib/sft</t>
  </si>
  <si>
    <t>allowable wall and bottom slab deflection=</t>
  </si>
  <si>
    <t>check this value with etabs report after analysis.</t>
  </si>
  <si>
    <t>https://www.youtube.com/watch?v=DAF3ss6EstA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</si>
</sst>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00"/>
  </numFmts>
  <fonts count="38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raditional Arabic"/>
      <family val="1"/>
    </font>
    <font>
      <b/>
      <sz val="14"/>
      <color theme="1"/>
      <name val="Traditional Arabic"/>
      <family val="1"/>
    </font>
    <font>
      <b/>
      <sz val="14"/>
      <color theme="1"/>
      <name val="Times New Roman"/>
      <family val="1"/>
    </font>
    <font>
      <b/>
      <vertAlign val="subscript"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charset val="178"/>
      <scheme val="minor"/>
    </font>
    <font>
      <b/>
      <sz val="22"/>
      <color theme="1"/>
      <name val="Times New Roman"/>
      <family val="1"/>
    </font>
    <font>
      <b/>
      <sz val="22"/>
      <color rgb="FFFF0000"/>
      <name val="Times New Roman"/>
      <family val="1"/>
    </font>
    <font>
      <b/>
      <vertAlign val="subscript"/>
      <sz val="22"/>
      <color theme="1"/>
      <name val="Times New Roman"/>
      <family val="1"/>
    </font>
    <font>
      <b/>
      <u/>
      <sz val="22"/>
      <color theme="1"/>
      <name val="Times New Roman"/>
      <family val="1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0"/>
      <color rgb="FFFF0000"/>
      <name val="Arial"/>
      <family val="2"/>
    </font>
    <font>
      <b/>
      <u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Symbol"/>
      <family val="1"/>
      <charset val="2"/>
    </font>
    <font>
      <sz val="10"/>
      <name val="Arial"/>
      <family val="2"/>
    </font>
    <font>
      <b/>
      <u/>
      <sz val="10"/>
      <color indexed="81"/>
      <name val="Arial"/>
      <family val="2"/>
    </font>
    <font>
      <b/>
      <sz val="10"/>
      <color indexed="81"/>
      <name val="Arial"/>
      <family val="2"/>
    </font>
    <font>
      <u/>
      <sz val="10"/>
      <color indexed="81"/>
      <name val="Arial"/>
      <family val="2"/>
    </font>
    <font>
      <sz val="10"/>
      <color indexed="81"/>
      <name val="Arial"/>
      <family val="2"/>
    </font>
    <font>
      <u/>
      <sz val="10"/>
      <color indexed="81"/>
      <name val="Symbol"/>
      <family val="1"/>
      <charset val="2"/>
    </font>
    <font>
      <sz val="10"/>
      <color indexed="81"/>
      <name val="Symbol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double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double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double">
        <color auto="1"/>
      </left>
      <right style="thin">
        <color auto="1"/>
      </right>
      <top style="medium">
        <color indexed="64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36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2" borderId="0" xfId="0" applyFill="1"/>
    <xf numFmtId="0" fontId="3" fillId="2" borderId="0" xfId="0" applyFont="1" applyFill="1"/>
    <xf numFmtId="2" fontId="0" fillId="0" borderId="0" xfId="0" applyNumberFormat="1"/>
    <xf numFmtId="2" fontId="4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7" fillId="0" borderId="0" xfId="0" applyFont="1"/>
    <xf numFmtId="0" fontId="7" fillId="2" borderId="0" xfId="0" applyFont="1" applyFill="1"/>
    <xf numFmtId="0" fontId="8" fillId="3" borderId="0" xfId="1" applyFont="1" applyFill="1" applyAlignment="1">
      <alignment horizontal="center" vertical="center"/>
    </xf>
    <xf numFmtId="2" fontId="8" fillId="3" borderId="0" xfId="1" applyNumberFormat="1" applyFont="1" applyFill="1" applyAlignment="1">
      <alignment vertical="center"/>
    </xf>
    <xf numFmtId="0" fontId="0" fillId="2" borderId="6" xfId="0" applyFill="1" applyBorder="1"/>
    <xf numFmtId="2" fontId="9" fillId="3" borderId="0" xfId="1" applyNumberFormat="1" applyFont="1" applyFill="1" applyAlignment="1">
      <alignment horizontal="center" vertical="center"/>
    </xf>
    <xf numFmtId="2" fontId="10" fillId="4" borderId="12" xfId="1" applyNumberFormat="1" applyFont="1" applyFill="1" applyBorder="1" applyAlignment="1">
      <alignment horizontal="center" vertical="center"/>
    </xf>
    <xf numFmtId="2" fontId="10" fillId="4" borderId="14" xfId="1" applyNumberFormat="1" applyFont="1" applyFill="1" applyBorder="1" applyAlignment="1">
      <alignment horizontal="center" vertical="center"/>
    </xf>
    <xf numFmtId="2" fontId="10" fillId="3" borderId="0" xfId="1" applyNumberFormat="1" applyFont="1" applyFill="1" applyAlignment="1">
      <alignment horizontal="center" vertical="center"/>
    </xf>
    <xf numFmtId="2" fontId="10" fillId="4" borderId="11" xfId="0" applyNumberFormat="1" applyFont="1" applyFill="1" applyBorder="1" applyAlignment="1">
      <alignment horizontal="center" vertical="center"/>
    </xf>
    <xf numFmtId="2" fontId="10" fillId="4" borderId="12" xfId="0" applyNumberFormat="1" applyFont="1" applyFill="1" applyBorder="1" applyAlignment="1">
      <alignment horizontal="center" vertical="center"/>
    </xf>
    <xf numFmtId="0" fontId="10" fillId="4" borderId="12" xfId="1" applyFont="1" applyFill="1" applyBorder="1" applyAlignment="1">
      <alignment horizontal="center" vertical="center"/>
    </xf>
    <xf numFmtId="0" fontId="12" fillId="5" borderId="7" xfId="1" applyFont="1" applyFill="1" applyBorder="1" applyAlignment="1">
      <alignment horizontal="center" vertical="center"/>
    </xf>
    <xf numFmtId="0" fontId="12" fillId="5" borderId="8" xfId="1" applyFont="1" applyFill="1" applyBorder="1" applyAlignment="1">
      <alignment horizontal="center" vertical="center"/>
    </xf>
    <xf numFmtId="0" fontId="13" fillId="5" borderId="8" xfId="1" applyFont="1" applyFill="1" applyBorder="1" applyAlignment="1">
      <alignment horizontal="center" vertical="center"/>
    </xf>
    <xf numFmtId="2" fontId="13" fillId="5" borderId="8" xfId="1" applyNumberFormat="1" applyFont="1" applyFill="1" applyBorder="1" applyAlignment="1">
      <alignment horizontal="center" vertical="center"/>
    </xf>
    <xf numFmtId="2" fontId="13" fillId="5" borderId="9" xfId="1" applyNumberFormat="1" applyFont="1" applyFill="1" applyBorder="1" applyAlignment="1">
      <alignment horizontal="center" vertical="center"/>
    </xf>
    <xf numFmtId="2" fontId="13" fillId="3" borderId="0" xfId="1" applyNumberFormat="1" applyFont="1" applyFill="1" applyAlignment="1">
      <alignment horizontal="center" vertical="center"/>
    </xf>
    <xf numFmtId="2" fontId="13" fillId="0" borderId="0" xfId="1" applyNumberFormat="1" applyFont="1" applyAlignment="1">
      <alignment horizontal="center" vertical="center"/>
    </xf>
    <xf numFmtId="2" fontId="13" fillId="0" borderId="7" xfId="0" applyNumberFormat="1" applyFont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164" fontId="14" fillId="3" borderId="2" xfId="0" applyNumberFormat="1" applyFont="1" applyFill="1" applyBorder="1" applyAlignment="1">
      <alignment horizontal="center" vertical="center"/>
    </xf>
    <xf numFmtId="164" fontId="10" fillId="3" borderId="2" xfId="0" applyNumberFormat="1" applyFont="1" applyFill="1" applyBorder="1" applyAlignment="1">
      <alignment horizontal="center" vertical="center"/>
    </xf>
    <xf numFmtId="0" fontId="12" fillId="5" borderId="2" xfId="1" applyFont="1" applyFill="1" applyBorder="1" applyAlignment="1">
      <alignment horizontal="center" vertical="center"/>
    </xf>
    <xf numFmtId="0" fontId="13" fillId="5" borderId="2" xfId="1" applyFont="1" applyFill="1" applyBorder="1" applyAlignment="1">
      <alignment horizontal="center" vertical="center"/>
    </xf>
    <xf numFmtId="2" fontId="13" fillId="5" borderId="2" xfId="1" applyNumberFormat="1" applyFont="1" applyFill="1" applyBorder="1" applyAlignment="1">
      <alignment horizontal="center" vertical="center"/>
    </xf>
    <xf numFmtId="2" fontId="13" fillId="5" borderId="15" xfId="1" applyNumberFormat="1" applyFont="1" applyFill="1" applyBorder="1" applyAlignment="1">
      <alignment horizontal="center" vertical="center"/>
    </xf>
    <xf numFmtId="164" fontId="10" fillId="3" borderId="10" xfId="0" applyNumberFormat="1" applyFont="1" applyFill="1" applyBorder="1" applyAlignment="1">
      <alignment horizontal="center" vertical="center"/>
    </xf>
    <xf numFmtId="164" fontId="14" fillId="3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2" fontId="15" fillId="3" borderId="0" xfId="0" applyNumberFormat="1" applyFont="1" applyFill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 indent="5"/>
    </xf>
    <xf numFmtId="0" fontId="0" fillId="2" borderId="0" xfId="0" applyFill="1" applyAlignment="1">
      <alignment horizontal="left" vertical="center" indent="5"/>
    </xf>
    <xf numFmtId="2" fontId="0" fillId="2" borderId="0" xfId="0" applyNumberFormat="1" applyFill="1"/>
    <xf numFmtId="0" fontId="4" fillId="0" borderId="0" xfId="0" applyFont="1" applyFill="1"/>
    <xf numFmtId="0" fontId="25" fillId="7" borderId="34" xfId="0" applyFont="1" applyFill="1" applyBorder="1" applyAlignment="1" applyProtection="1">
      <protection hidden="1"/>
    </xf>
    <xf numFmtId="0" fontId="26" fillId="7" borderId="0" xfId="0" applyFont="1" applyFill="1" applyBorder="1" applyAlignment="1" applyProtection="1">
      <protection locked="0"/>
    </xf>
    <xf numFmtId="0" fontId="27" fillId="7" borderId="34" xfId="0" applyFont="1" applyFill="1" applyBorder="1" applyAlignment="1" applyProtection="1">
      <protection hidden="1"/>
    </xf>
    <xf numFmtId="0" fontId="27" fillId="7" borderId="0" xfId="0" applyFont="1" applyFill="1" applyBorder="1" applyAlignment="1" applyProtection="1">
      <alignment horizontal="right"/>
      <protection hidden="1"/>
    </xf>
    <xf numFmtId="165" fontId="26" fillId="8" borderId="35" xfId="0" applyNumberFormat="1" applyFont="1" applyFill="1" applyBorder="1" applyAlignment="1" applyProtection="1">
      <alignment horizontal="center"/>
      <protection locked="0"/>
    </xf>
    <xf numFmtId="0" fontId="28" fillId="7" borderId="0" xfId="0" applyFont="1" applyFill="1" applyBorder="1" applyAlignment="1" applyProtection="1">
      <protection hidden="1"/>
    </xf>
    <xf numFmtId="0" fontId="0" fillId="7" borderId="0" xfId="0" applyFill="1" applyBorder="1" applyAlignment="1" applyProtection="1">
      <alignment horizontal="left" vertical="top"/>
      <protection hidden="1"/>
    </xf>
    <xf numFmtId="165" fontId="26" fillId="8" borderId="36" xfId="0" applyNumberFormat="1" applyFont="1" applyFill="1" applyBorder="1" applyAlignment="1" applyProtection="1">
      <alignment horizontal="center"/>
      <protection locked="0"/>
    </xf>
    <xf numFmtId="165" fontId="27" fillId="7" borderId="0" xfId="0" applyNumberFormat="1" applyFont="1" applyFill="1" applyBorder="1" applyAlignment="1" applyProtection="1">
      <alignment horizontal="left" vertical="top"/>
      <protection hidden="1"/>
    </xf>
    <xf numFmtId="0" fontId="27" fillId="7" borderId="0" xfId="0" applyFont="1" applyFill="1" applyBorder="1" applyAlignment="1" applyProtection="1">
      <alignment horizontal="left" vertical="top"/>
      <protection hidden="1"/>
    </xf>
    <xf numFmtId="0" fontId="26" fillId="8" borderId="36" xfId="0" applyFont="1" applyFill="1" applyBorder="1" applyAlignment="1" applyProtection="1">
      <alignment horizontal="center"/>
      <protection locked="0"/>
    </xf>
    <xf numFmtId="2" fontId="26" fillId="8" borderId="36" xfId="0" applyNumberFormat="1" applyFont="1" applyFill="1" applyBorder="1" applyAlignment="1" applyProtection="1">
      <alignment horizontal="center"/>
      <protection locked="0"/>
    </xf>
    <xf numFmtId="0" fontId="27" fillId="7" borderId="34" xfId="0" applyFont="1" applyFill="1" applyBorder="1" applyAlignment="1" applyProtection="1">
      <alignment horizontal="left" vertical="top"/>
      <protection hidden="1"/>
    </xf>
    <xf numFmtId="165" fontId="26" fillId="8" borderId="37" xfId="0" applyNumberFormat="1" applyFont="1" applyFill="1" applyBorder="1" applyAlignment="1" applyProtection="1">
      <alignment horizontal="center"/>
      <protection locked="0"/>
    </xf>
    <xf numFmtId="2" fontId="28" fillId="7" borderId="0" xfId="0" applyNumberFormat="1" applyFont="1" applyFill="1" applyBorder="1" applyAlignment="1" applyProtection="1">
      <protection hidden="1"/>
    </xf>
    <xf numFmtId="0" fontId="24" fillId="0" borderId="0" xfId="0" applyFont="1"/>
    <xf numFmtId="0" fontId="31" fillId="0" borderId="0" xfId="0" applyFont="1"/>
    <xf numFmtId="0" fontId="31" fillId="6" borderId="0" xfId="0" applyFont="1" applyFill="1"/>
    <xf numFmtId="0" fontId="0" fillId="6" borderId="0" xfId="0" applyFill="1"/>
    <xf numFmtId="0" fontId="0" fillId="0" borderId="0" xfId="0" applyBorder="1"/>
    <xf numFmtId="0" fontId="31" fillId="0" borderId="0" xfId="0" applyFont="1" applyBorder="1"/>
    <xf numFmtId="0" fontId="31" fillId="0" borderId="2" xfId="0" applyFont="1" applyBorder="1"/>
    <xf numFmtId="0" fontId="0" fillId="0" borderId="0" xfId="0" applyFill="1" applyBorder="1"/>
    <xf numFmtId="0" fontId="0" fillId="0" borderId="2" xfId="0" applyFill="1" applyBorder="1"/>
    <xf numFmtId="0" fontId="31" fillId="0" borderId="2" xfId="0" applyFont="1" applyFill="1" applyBorder="1"/>
    <xf numFmtId="0" fontId="31" fillId="6" borderId="2" xfId="0" applyFont="1" applyFill="1" applyBorder="1"/>
    <xf numFmtId="0" fontId="0" fillId="6" borderId="2" xfId="0" applyFill="1" applyBorder="1"/>
    <xf numFmtId="0" fontId="3" fillId="0" borderId="0" xfId="0" applyFont="1" applyFill="1"/>
    <xf numFmtId="0" fontId="8" fillId="2" borderId="4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9" fillId="4" borderId="32" xfId="1" applyFont="1" applyFill="1" applyBorder="1" applyAlignment="1">
      <alignment horizontal="center" vertical="center"/>
    </xf>
    <xf numFmtId="0" fontId="9" fillId="4" borderId="33" xfId="1" applyFont="1" applyFill="1" applyBorder="1" applyAlignment="1">
      <alignment horizontal="center" vertical="center"/>
    </xf>
    <xf numFmtId="0" fontId="9" fillId="4" borderId="31" xfId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10" fillId="4" borderId="31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center" vertical="center"/>
    </xf>
    <xf numFmtId="2" fontId="9" fillId="4" borderId="27" xfId="1" applyNumberFormat="1" applyFont="1" applyFill="1" applyBorder="1" applyAlignment="1">
      <alignment horizontal="center" vertical="center"/>
    </xf>
    <xf numFmtId="2" fontId="9" fillId="4" borderId="29" xfId="1" applyNumberFormat="1" applyFont="1" applyFill="1" applyBorder="1" applyAlignment="1">
      <alignment horizontal="center" vertical="center"/>
    </xf>
    <xf numFmtId="2" fontId="9" fillId="4" borderId="31" xfId="1" applyNumberFormat="1" applyFont="1" applyFill="1" applyBorder="1" applyAlignment="1">
      <alignment horizontal="center" vertical="center"/>
    </xf>
    <xf numFmtId="2" fontId="9" fillId="4" borderId="13" xfId="1" applyNumberFormat="1" applyFont="1" applyFill="1" applyBorder="1" applyAlignment="1">
      <alignment horizontal="center" vertical="center"/>
    </xf>
    <xf numFmtId="2" fontId="9" fillId="4" borderId="30" xfId="1" applyNumberFormat="1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164" fontId="10" fillId="4" borderId="27" xfId="1" applyNumberFormat="1" applyFont="1" applyFill="1" applyBorder="1" applyAlignment="1">
      <alignment horizontal="center" vertical="center"/>
    </xf>
    <xf numFmtId="164" fontId="10" fillId="4" borderId="29" xfId="1" applyNumberFormat="1" applyFont="1" applyFill="1" applyBorder="1" applyAlignment="1">
      <alignment horizontal="center" vertical="center"/>
    </xf>
    <xf numFmtId="164" fontId="10" fillId="4" borderId="27" xfId="0" applyNumberFormat="1" applyFont="1" applyFill="1" applyBorder="1" applyAlignment="1">
      <alignment horizontal="center" vertical="center"/>
    </xf>
    <xf numFmtId="164" fontId="10" fillId="4" borderId="28" xfId="0" applyNumberFormat="1" applyFont="1" applyFill="1" applyBorder="1" applyAlignment="1">
      <alignment horizontal="center" vertical="center"/>
    </xf>
    <xf numFmtId="164" fontId="10" fillId="4" borderId="24" xfId="0" applyNumberFormat="1" applyFont="1" applyFill="1" applyBorder="1" applyAlignment="1">
      <alignment horizontal="center" vertical="center"/>
    </xf>
    <xf numFmtId="164" fontId="10" fillId="4" borderId="26" xfId="0" applyNumberFormat="1" applyFont="1" applyFill="1" applyBorder="1" applyAlignment="1">
      <alignment horizontal="center" vertical="center"/>
    </xf>
    <xf numFmtId="164" fontId="10" fillId="4" borderId="2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7" fillId="0" borderId="16" xfId="0" quotePrefix="1" applyFont="1" applyBorder="1" applyAlignment="1">
      <alignment horizontal="left" vertical="center" wrapText="1"/>
    </xf>
    <xf numFmtId="0" fontId="17" fillId="0" borderId="17" xfId="0" quotePrefix="1" applyFont="1" applyBorder="1" applyAlignment="1">
      <alignment horizontal="left" vertical="center" wrapText="1"/>
    </xf>
    <xf numFmtId="0" fontId="17" fillId="0" borderId="18" xfId="0" quotePrefix="1" applyFont="1" applyBorder="1" applyAlignment="1">
      <alignment horizontal="left" vertical="center" wrapText="1"/>
    </xf>
    <xf numFmtId="0" fontId="17" fillId="0" borderId="22" xfId="0" quotePrefix="1" applyFont="1" applyBorder="1" applyAlignment="1">
      <alignment horizontal="left" vertical="center" wrapText="1"/>
    </xf>
    <xf numFmtId="0" fontId="17" fillId="0" borderId="0" xfId="0" quotePrefix="1" applyFont="1" applyBorder="1" applyAlignment="1">
      <alignment horizontal="left" vertical="center" wrapText="1"/>
    </xf>
    <xf numFmtId="0" fontId="17" fillId="0" borderId="23" xfId="0" quotePrefix="1" applyFont="1" applyBorder="1" applyAlignment="1">
      <alignment horizontal="left" vertical="center" wrapText="1"/>
    </xf>
    <xf numFmtId="0" fontId="17" fillId="0" borderId="19" xfId="0" quotePrefix="1" applyFont="1" applyBorder="1" applyAlignment="1">
      <alignment horizontal="left" vertical="center" wrapText="1"/>
    </xf>
    <xf numFmtId="0" fontId="17" fillId="0" borderId="20" xfId="0" quotePrefix="1" applyFont="1" applyBorder="1" applyAlignment="1">
      <alignment horizontal="left" vertical="center" wrapText="1"/>
    </xf>
    <xf numFmtId="0" fontId="17" fillId="0" borderId="21" xfId="0" quotePrefix="1" applyFont="1" applyBorder="1" applyAlignment="1">
      <alignment horizontal="left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2" fontId="9" fillId="4" borderId="28" xfId="1" applyNumberFormat="1" applyFont="1" applyFill="1" applyBorder="1" applyAlignment="1">
      <alignment horizontal="center" vertical="center"/>
    </xf>
    <xf numFmtId="0" fontId="31" fillId="6" borderId="24" xfId="0" applyFont="1" applyFill="1" applyBorder="1" applyAlignment="1">
      <alignment horizontal="left" vertical="top"/>
    </xf>
    <xf numFmtId="0" fontId="31" fillId="6" borderId="38" xfId="0" applyFont="1" applyFill="1" applyBorder="1" applyAlignment="1">
      <alignment horizontal="left" vertical="top"/>
    </xf>
    <xf numFmtId="0" fontId="31" fillId="6" borderId="26" xfId="0" applyFont="1" applyFill="1" applyBorder="1" applyAlignment="1">
      <alignment horizontal="left" vertical="top"/>
    </xf>
    <xf numFmtId="0" fontId="31" fillId="6" borderId="24" xfId="0" applyFont="1" applyFill="1" applyBorder="1" applyAlignment="1">
      <alignment horizontal="left" vertical="top" wrapText="1"/>
    </xf>
    <xf numFmtId="0" fontId="31" fillId="6" borderId="38" xfId="0" applyFont="1" applyFill="1" applyBorder="1" applyAlignment="1">
      <alignment horizontal="left" vertical="top" wrapText="1"/>
    </xf>
    <xf numFmtId="0" fontId="31" fillId="6" borderId="26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8989"/>
        </patternFill>
      </fill>
    </dxf>
    <dxf>
      <fill>
        <patternFill>
          <bgColor rgb="FFFF616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11" Type="http://schemas.openxmlformats.org/officeDocument/2006/relationships/image" Target="../media/image34.png"/><Relationship Id="rId5" Type="http://schemas.openxmlformats.org/officeDocument/2006/relationships/image" Target="../media/image28.png"/><Relationship Id="rId10" Type="http://schemas.openxmlformats.org/officeDocument/2006/relationships/image" Target="../media/image33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jpeg"/><Relationship Id="rId2" Type="http://schemas.openxmlformats.org/officeDocument/2006/relationships/image" Target="../media/image36.png"/><Relationship Id="rId1" Type="http://schemas.openxmlformats.org/officeDocument/2006/relationships/image" Target="../media/image35.jpeg"/><Relationship Id="rId5" Type="http://schemas.microsoft.com/office/2007/relationships/hdphoto" Target="../media/hdphoto1.wdp"/><Relationship Id="rId4" Type="http://schemas.openxmlformats.org/officeDocument/2006/relationships/image" Target="../media/image3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6</xdr:row>
      <xdr:rowOff>114300</xdr:rowOff>
    </xdr:from>
    <xdr:to>
      <xdr:col>16</xdr:col>
      <xdr:colOff>48295</xdr:colOff>
      <xdr:row>17</xdr:row>
      <xdr:rowOff>66961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5" y="1257300"/>
          <a:ext cx="4801270" cy="2048161"/>
        </a:xfrm>
        <a:prstGeom prst="rect">
          <a:avLst/>
        </a:prstGeom>
      </xdr:spPr>
    </xdr:pic>
    <xdr:clientData/>
  </xdr:twoCellAnchor>
  <xdr:twoCellAnchor editAs="oneCell">
    <xdr:from>
      <xdr:col>8</xdr:col>
      <xdr:colOff>200025</xdr:colOff>
      <xdr:row>20</xdr:row>
      <xdr:rowOff>28575</xdr:rowOff>
    </xdr:from>
    <xdr:to>
      <xdr:col>17</xdr:col>
      <xdr:colOff>191264</xdr:colOff>
      <xdr:row>40</xdr:row>
      <xdr:rowOff>95796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3648075"/>
          <a:ext cx="5477639" cy="39153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7</xdr:col>
      <xdr:colOff>66675</xdr:colOff>
      <xdr:row>46</xdr:row>
      <xdr:rowOff>85725</xdr:rowOff>
    </xdr:to>
    <xdr:pic>
      <xdr:nvPicPr>
        <xdr:cNvPr id="31" name="Picture 30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753100"/>
          <a:ext cx="4467225" cy="31337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6</xdr:col>
      <xdr:colOff>371475</xdr:colOff>
      <xdr:row>76</xdr:row>
      <xdr:rowOff>181610</xdr:rowOff>
    </xdr:to>
    <xdr:pic>
      <xdr:nvPicPr>
        <xdr:cNvPr id="32" name="Picture 31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991600"/>
          <a:ext cx="4162425" cy="57061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7</xdr:col>
      <xdr:colOff>162560</xdr:colOff>
      <xdr:row>110</xdr:row>
      <xdr:rowOff>76835</xdr:rowOff>
    </xdr:to>
    <xdr:pic>
      <xdr:nvPicPr>
        <xdr:cNvPr id="34" name="Picture 33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5468600"/>
          <a:ext cx="4563110" cy="56013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7</xdr:col>
      <xdr:colOff>573511</xdr:colOff>
      <xdr:row>145</xdr:row>
      <xdr:rowOff>87685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2898100"/>
          <a:ext cx="4974061" cy="48501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7</xdr:col>
      <xdr:colOff>592568</xdr:colOff>
      <xdr:row>160</xdr:row>
      <xdr:rowOff>115348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8041600"/>
          <a:ext cx="4993118" cy="25918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7</xdr:col>
      <xdr:colOff>68481</xdr:colOff>
      <xdr:row>190</xdr:row>
      <xdr:rowOff>107051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0708600"/>
          <a:ext cx="4469031" cy="56315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7</xdr:col>
      <xdr:colOff>335289</xdr:colOff>
      <xdr:row>199</xdr:row>
      <xdr:rowOff>172059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6614100"/>
          <a:ext cx="4735839" cy="15055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8</xdr:col>
      <xdr:colOff>268834</xdr:colOff>
      <xdr:row>218</xdr:row>
      <xdr:rowOff>182050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9090600"/>
          <a:ext cx="5278984" cy="2658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230</xdr:row>
      <xdr:rowOff>1</xdr:rowOff>
    </xdr:from>
    <xdr:to>
      <xdr:col>7</xdr:col>
      <xdr:colOff>392462</xdr:colOff>
      <xdr:row>260</xdr:row>
      <xdr:rowOff>104775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3853101"/>
          <a:ext cx="4793012" cy="58197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7</xdr:col>
      <xdr:colOff>163770</xdr:colOff>
      <xdr:row>274</xdr:row>
      <xdr:rowOff>181664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0711100"/>
          <a:ext cx="4564320" cy="17056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7</xdr:col>
      <xdr:colOff>325760</xdr:colOff>
      <xdr:row>297</xdr:row>
      <xdr:rowOff>49031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3187600"/>
          <a:ext cx="4726310" cy="34780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7</xdr:col>
      <xdr:colOff>173299</xdr:colOff>
      <xdr:row>324</xdr:row>
      <xdr:rowOff>30589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6807100"/>
          <a:ext cx="4573849" cy="498358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7</xdr:col>
      <xdr:colOff>192356</xdr:colOff>
      <xdr:row>334</xdr:row>
      <xdr:rowOff>57866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1950600"/>
          <a:ext cx="4592906" cy="17723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7</xdr:col>
      <xdr:colOff>68481</xdr:colOff>
      <xdr:row>347</xdr:row>
      <xdr:rowOff>48569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3855600"/>
          <a:ext cx="4469031" cy="2334569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348</xdr:row>
      <xdr:rowOff>85725</xdr:rowOff>
    </xdr:from>
    <xdr:to>
      <xdr:col>6</xdr:col>
      <xdr:colOff>430354</xdr:colOff>
      <xdr:row>372</xdr:row>
      <xdr:rowOff>39929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66417825"/>
          <a:ext cx="4278454" cy="4526204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523875</xdr:colOff>
      <xdr:row>373</xdr:row>
      <xdr:rowOff>76200</xdr:rowOff>
    </xdr:from>
    <xdr:to>
      <xdr:col>6</xdr:col>
      <xdr:colOff>525654</xdr:colOff>
      <xdr:row>402</xdr:row>
      <xdr:rowOff>49847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71170800"/>
          <a:ext cx="4402329" cy="54981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7</xdr:col>
      <xdr:colOff>30366</xdr:colOff>
      <xdr:row>435</xdr:row>
      <xdr:rowOff>49570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8143100"/>
          <a:ext cx="4430916" cy="48120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8</xdr:col>
      <xdr:colOff>105410</xdr:colOff>
      <xdr:row>459</xdr:row>
      <xdr:rowOff>104775</xdr:rowOff>
    </xdr:to>
    <xdr:pic>
      <xdr:nvPicPr>
        <xdr:cNvPr id="66" name="Picture 65"/>
        <xdr:cNvPicPr/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5382100"/>
          <a:ext cx="5115560" cy="2200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6</xdr:col>
      <xdr:colOff>458918</xdr:colOff>
      <xdr:row>503</xdr:row>
      <xdr:rowOff>116580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0335100"/>
          <a:ext cx="4249868" cy="56410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7</xdr:col>
      <xdr:colOff>106597</xdr:colOff>
      <xdr:row>514</xdr:row>
      <xdr:rowOff>143626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6240600"/>
          <a:ext cx="4507147" cy="18581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7</xdr:col>
      <xdr:colOff>382933</xdr:colOff>
      <xdr:row>526</xdr:row>
      <xdr:rowOff>124876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7764600"/>
          <a:ext cx="4783483" cy="26013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8</xdr:col>
      <xdr:colOff>1849</xdr:colOff>
      <xdr:row>30</xdr:row>
      <xdr:rowOff>124645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0"/>
          <a:ext cx="4573849" cy="20296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9</xdr:col>
      <xdr:colOff>304800</xdr:colOff>
      <xdr:row>60</xdr:row>
      <xdr:rowOff>51290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286500"/>
          <a:ext cx="5486400" cy="51947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7</xdr:col>
      <xdr:colOff>230295</xdr:colOff>
      <xdr:row>111</xdr:row>
      <xdr:rowOff>97599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5430500"/>
          <a:ext cx="4192695" cy="5812599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153</xdr:row>
      <xdr:rowOff>114300</xdr:rowOff>
    </xdr:from>
    <xdr:to>
      <xdr:col>8</xdr:col>
      <xdr:colOff>335370</xdr:colOff>
      <xdr:row>166</xdr:row>
      <xdr:rowOff>955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29260800"/>
          <a:ext cx="4935945" cy="23631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237</xdr:row>
      <xdr:rowOff>66675</xdr:rowOff>
    </xdr:from>
    <xdr:to>
      <xdr:col>8</xdr:col>
      <xdr:colOff>240070</xdr:colOff>
      <xdr:row>244</xdr:row>
      <xdr:rowOff>48157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2451675"/>
          <a:ext cx="4812070" cy="13149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8</xdr:col>
      <xdr:colOff>278185</xdr:colOff>
      <xdr:row>260</xdr:row>
      <xdr:rowOff>10299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4861500"/>
          <a:ext cx="4850185" cy="1915299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342</xdr:row>
      <xdr:rowOff>142875</xdr:rowOff>
    </xdr:from>
    <xdr:to>
      <xdr:col>9</xdr:col>
      <xdr:colOff>21172</xdr:colOff>
      <xdr:row>362</xdr:row>
      <xdr:rowOff>39598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8052375"/>
          <a:ext cx="5250397" cy="3706723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233</xdr:row>
      <xdr:rowOff>66675</xdr:rowOff>
    </xdr:from>
    <xdr:to>
      <xdr:col>10</xdr:col>
      <xdr:colOff>210392</xdr:colOff>
      <xdr:row>246</xdr:row>
      <xdr:rowOff>95600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37785675"/>
          <a:ext cx="6030167" cy="25054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312</xdr:row>
      <xdr:rowOff>19050</xdr:rowOff>
    </xdr:from>
    <xdr:to>
      <xdr:col>6</xdr:col>
      <xdr:colOff>295780</xdr:colOff>
      <xdr:row>318</xdr:row>
      <xdr:rowOff>114473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46120050"/>
          <a:ext cx="3620005" cy="12384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8</xdr:col>
      <xdr:colOff>315007</xdr:colOff>
      <xdr:row>195</xdr:row>
      <xdr:rowOff>48350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2004000"/>
          <a:ext cx="4887007" cy="51918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10</xdr:col>
      <xdr:colOff>372335</xdr:colOff>
      <xdr:row>222</xdr:row>
      <xdr:rowOff>19744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7338000"/>
          <a:ext cx="6163535" cy="49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355600</xdr:colOff>
      <xdr:row>32</xdr:row>
      <xdr:rowOff>177800</xdr:rowOff>
    </xdr:from>
    <xdr:to>
      <xdr:col>12</xdr:col>
      <xdr:colOff>539252</xdr:colOff>
      <xdr:row>56</xdr:row>
      <xdr:rowOff>38100</xdr:rowOff>
    </xdr:to>
    <xdr:pic>
      <xdr:nvPicPr>
        <xdr:cNvPr id="2" name="Picture 1" descr="Image result for center of mass and center of rigidity">
          <a:extLst>
            <a:ext uri="{FF2B5EF4-FFF2-40B4-BE49-F238E27FC236}">
              <a16:creationId xmlns:a16="http://schemas.microsoft.com/office/drawing/2014/main" id="{19E6B44A-4E45-4D49-B5C4-94080249A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7750" y="10788650"/>
          <a:ext cx="8594227" cy="466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254000</xdr:colOff>
      <xdr:row>32</xdr:row>
      <xdr:rowOff>139700</xdr:rowOff>
    </xdr:from>
    <xdr:to>
      <xdr:col>24</xdr:col>
      <xdr:colOff>462692</xdr:colOff>
      <xdr:row>56</xdr:row>
      <xdr:rowOff>53376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0BAF47-08CA-447F-A512-B87504733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0750550"/>
          <a:ext cx="6895242" cy="4714276"/>
        </a:xfrm>
        <a:prstGeom prst="rect">
          <a:avLst/>
        </a:prstGeom>
      </xdr:spPr>
    </xdr:pic>
    <xdr:clientData/>
  </xdr:twoCellAnchor>
  <xdr:twoCellAnchor editAs="oneCell">
    <xdr:from>
      <xdr:col>0</xdr:col>
      <xdr:colOff>793011</xdr:colOff>
      <xdr:row>30</xdr:row>
      <xdr:rowOff>185739</xdr:rowOff>
    </xdr:from>
    <xdr:to>
      <xdr:col>2</xdr:col>
      <xdr:colOff>408836</xdr:colOff>
      <xdr:row>45</xdr:row>
      <xdr:rowOff>46039</xdr:rowOff>
    </xdr:to>
    <xdr:pic>
      <xdr:nvPicPr>
        <xdr:cNvPr id="4" name="Picture 3" descr="Image result for center of mass and center of rigidity">
          <a:extLst>
            <a:ext uri="{FF2B5EF4-FFF2-40B4-BE49-F238E27FC236}">
              <a16:creationId xmlns:a16="http://schemas.microsoft.com/office/drawing/2014/main" id="{8C17F6C6-F738-4D1E-98A6-B64BD73D0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896883">
          <a:off x="161186" y="11028364"/>
          <a:ext cx="2860675" cy="159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546100</xdr:colOff>
      <xdr:row>54</xdr:row>
      <xdr:rowOff>127000</xdr:rowOff>
    </xdr:from>
    <xdr:to>
      <xdr:col>9</xdr:col>
      <xdr:colOff>330200</xdr:colOff>
      <xdr:row>55</xdr:row>
      <xdr:rowOff>165100</xdr:rowOff>
    </xdr:to>
    <xdr:sp macro="" textlink="">
      <xdr:nvSpPr>
        <xdr:cNvPr id="5" name="Arrow: Left-Right 8">
          <a:extLst>
            <a:ext uri="{FF2B5EF4-FFF2-40B4-BE49-F238E27FC236}">
              <a16:creationId xmlns:a16="http://schemas.microsoft.com/office/drawing/2014/main" id="{33B18D42-1E3D-4F6D-B267-16231D25980F}"/>
            </a:ext>
          </a:extLst>
        </xdr:cNvPr>
        <xdr:cNvSpPr/>
      </xdr:nvSpPr>
      <xdr:spPr>
        <a:xfrm>
          <a:off x="3327400" y="15138400"/>
          <a:ext cx="5108575" cy="23812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596900</xdr:colOff>
      <xdr:row>41</xdr:row>
      <xdr:rowOff>12700</xdr:rowOff>
    </xdr:from>
    <xdr:to>
      <xdr:col>3</xdr:col>
      <xdr:colOff>12700</xdr:colOff>
      <xdr:row>52</xdr:row>
      <xdr:rowOff>139700</xdr:rowOff>
    </xdr:to>
    <xdr:sp macro="" textlink="">
      <xdr:nvSpPr>
        <xdr:cNvPr id="6" name="Arrow: Left-Right 9">
          <a:extLst>
            <a:ext uri="{FF2B5EF4-FFF2-40B4-BE49-F238E27FC236}">
              <a16:creationId xmlns:a16="http://schemas.microsoft.com/office/drawing/2014/main" id="{C4C31874-1399-4849-8E23-0EFCDD6A06BB}"/>
            </a:ext>
          </a:extLst>
        </xdr:cNvPr>
        <xdr:cNvSpPr/>
      </xdr:nvSpPr>
      <xdr:spPr>
        <a:xfrm rot="16200000">
          <a:off x="1512887" y="13469938"/>
          <a:ext cx="2327275" cy="23495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774700</xdr:colOff>
      <xdr:row>52</xdr:row>
      <xdr:rowOff>152400</xdr:rowOff>
    </xdr:from>
    <xdr:to>
      <xdr:col>6</xdr:col>
      <xdr:colOff>609600</xdr:colOff>
      <xdr:row>54</xdr:row>
      <xdr:rowOff>127000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1C45385-1FD5-42F4-AECF-3011E76D7E95}"/>
            </a:ext>
          </a:extLst>
        </xdr:cNvPr>
        <xdr:cNvSpPr txBox="1"/>
      </xdr:nvSpPr>
      <xdr:spPr>
        <a:xfrm>
          <a:off x="5137150" y="14763750"/>
          <a:ext cx="625475" cy="374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Dx</a:t>
          </a:r>
          <a:endParaRPr lang="en-US" sz="1100" b="1"/>
        </a:p>
      </xdr:txBody>
    </xdr:sp>
    <xdr:clientData/>
  </xdr:twoCellAnchor>
  <xdr:twoCellAnchor>
    <xdr:from>
      <xdr:col>2</xdr:col>
      <xdr:colOff>787400</xdr:colOff>
      <xdr:row>44</xdr:row>
      <xdr:rowOff>63500</xdr:rowOff>
    </xdr:from>
    <xdr:to>
      <xdr:col>3</xdr:col>
      <xdr:colOff>584200</xdr:colOff>
      <xdr:row>47</xdr:row>
      <xdr:rowOff>76200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E657F18-3CF0-42AE-BB9B-51FDAA75A379}"/>
            </a:ext>
          </a:extLst>
        </xdr:cNvPr>
        <xdr:cNvSpPr txBox="1"/>
      </xdr:nvSpPr>
      <xdr:spPr>
        <a:xfrm>
          <a:off x="2749550" y="13074650"/>
          <a:ext cx="615950" cy="612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Dy</a:t>
          </a:r>
          <a:endParaRPr lang="en-US" sz="1100" b="1"/>
        </a:p>
      </xdr:txBody>
    </xdr:sp>
    <xdr:clientData/>
  </xdr:twoCellAnchor>
  <xdr:twoCellAnchor editAs="oneCell">
    <xdr:from>
      <xdr:col>2</xdr:col>
      <xdr:colOff>559593</xdr:colOff>
      <xdr:row>63</xdr:row>
      <xdr:rowOff>26194</xdr:rowOff>
    </xdr:from>
    <xdr:to>
      <xdr:col>10</xdr:col>
      <xdr:colOff>647699</xdr:colOff>
      <xdr:row>86</xdr:row>
      <xdr:rowOff>159236</xdr:rowOff>
    </xdr:to>
    <xdr:pic>
      <xdr:nvPicPr>
        <xdr:cNvPr id="9" name="Picture 8" descr="Image result for center of mass and center of rigidity">
          <a:extLst>
            <a:ext uri="{FF2B5EF4-FFF2-40B4-BE49-F238E27FC236}">
              <a16:creationId xmlns:a16="http://schemas.microsoft.com/office/drawing/2014/main" id="{903E2DEB-5C56-4EB5-8ADB-EF265BA44E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39" t="13361" r="14107" b="15031"/>
        <a:stretch/>
      </xdr:blipFill>
      <xdr:spPr bwMode="auto">
        <a:xfrm>
          <a:off x="2521743" y="16875919"/>
          <a:ext cx="7003256" cy="4752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327025</xdr:colOff>
      <xdr:row>41</xdr:row>
      <xdr:rowOff>158750</xdr:rowOff>
    </xdr:from>
    <xdr:to>
      <xdr:col>7</xdr:col>
      <xdr:colOff>942975</xdr:colOff>
      <xdr:row>44</xdr:row>
      <xdr:rowOff>171450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6C816AF-C16C-4383-B841-5EF749A741B2}"/>
            </a:ext>
          </a:extLst>
        </xdr:cNvPr>
        <xdr:cNvSpPr txBox="1"/>
      </xdr:nvSpPr>
      <xdr:spPr>
        <a:xfrm>
          <a:off x="6604000" y="12569825"/>
          <a:ext cx="615950" cy="612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0"/>
            <a:t>CR</a:t>
          </a:r>
          <a:endParaRPr lang="en-US" sz="1100" b="0"/>
        </a:p>
      </xdr:txBody>
    </xdr:sp>
    <xdr:clientData/>
  </xdr:twoCellAnchor>
  <xdr:twoCellAnchor>
    <xdr:from>
      <xdr:col>6</xdr:col>
      <xdr:colOff>774700</xdr:colOff>
      <xdr:row>44</xdr:row>
      <xdr:rowOff>168275</xdr:rowOff>
    </xdr:from>
    <xdr:to>
      <xdr:col>7</xdr:col>
      <xdr:colOff>266700</xdr:colOff>
      <xdr:row>47</xdr:row>
      <xdr:rowOff>180975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0F37AB0-E760-4FB0-8BD6-70DED79A4C4B}"/>
            </a:ext>
          </a:extLst>
        </xdr:cNvPr>
        <xdr:cNvSpPr txBox="1"/>
      </xdr:nvSpPr>
      <xdr:spPr>
        <a:xfrm>
          <a:off x="5927725" y="13179425"/>
          <a:ext cx="615950" cy="612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0"/>
            <a:t>CM</a:t>
          </a:r>
          <a:endParaRPr lang="en-US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438150</xdr:colOff>
      <xdr:row>1</xdr:row>
      <xdr:rowOff>9525</xdr:rowOff>
    </xdr:from>
    <xdr:to>
      <xdr:col>20</xdr:col>
      <xdr:colOff>399016</xdr:colOff>
      <xdr:row>19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200025"/>
          <a:ext cx="7276066" cy="3457575"/>
        </a:xfrm>
        <a:prstGeom prst="rect">
          <a:avLst/>
        </a:prstGeom>
      </xdr:spPr>
    </xdr:pic>
    <xdr:clientData/>
  </xdr:twoCellAnchor>
  <xdr:twoCellAnchor editAs="oneCell">
    <xdr:from>
      <xdr:col>8</xdr:col>
      <xdr:colOff>400050</xdr:colOff>
      <xdr:row>22</xdr:row>
      <xdr:rowOff>152401</xdr:rowOff>
    </xdr:from>
    <xdr:to>
      <xdr:col>20</xdr:col>
      <xdr:colOff>383627</xdr:colOff>
      <xdr:row>39</xdr:row>
      <xdr:rowOff>95251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3962401"/>
          <a:ext cx="7298777" cy="3181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110</xdr:row>
      <xdr:rowOff>0</xdr:rowOff>
    </xdr:from>
    <xdr:to>
      <xdr:col>10</xdr:col>
      <xdr:colOff>105410</xdr:colOff>
      <xdr:row>134</xdr:row>
      <xdr:rowOff>105410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1145500"/>
          <a:ext cx="4982210" cy="467741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134</xdr:row>
      <xdr:rowOff>57150</xdr:rowOff>
    </xdr:from>
    <xdr:to>
      <xdr:col>10</xdr:col>
      <xdr:colOff>143510</xdr:colOff>
      <xdr:row>148</xdr:row>
      <xdr:rowOff>142875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25774650"/>
          <a:ext cx="4772660" cy="2752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37"/>
  <sheetViews>
    <sheetView topLeftCell="A523" zoomScaleNormal="100" workbookViewId="0">
      <selection activeCell="K537" sqref="K537"/>
    </sheetView>
  </sheetViews>
  <sheetFormatPr defaultRowHeight="15"/>
  <cols>
    <col min="5" max="5" width="13.7109375" customWidth="1"/>
    <col min="6" max="6" width="15.7109375" bestFit="1" customWidth="1"/>
  </cols>
  <sheetData>
    <row r="3" spans="2:10">
      <c r="B3" t="s">
        <v>0</v>
      </c>
      <c r="E3" s="3">
        <v>95.5</v>
      </c>
      <c r="F3" t="s">
        <v>2</v>
      </c>
      <c r="G3" t="s">
        <v>4</v>
      </c>
      <c r="H3">
        <f>E3/3.28</f>
        <v>29.115853658536587</v>
      </c>
      <c r="I3" t="s">
        <v>5</v>
      </c>
    </row>
    <row r="4" spans="2:10">
      <c r="B4" t="s">
        <v>1</v>
      </c>
      <c r="E4" s="3">
        <v>40.832999999999998</v>
      </c>
      <c r="F4" t="s">
        <v>2</v>
      </c>
      <c r="G4" t="s">
        <v>4</v>
      </c>
      <c r="H4">
        <f>E4/3.28</f>
        <v>12.449085365853659</v>
      </c>
      <c r="I4" t="s">
        <v>5</v>
      </c>
    </row>
    <row r="5" spans="2:10">
      <c r="B5" t="s">
        <v>3</v>
      </c>
      <c r="E5" s="3">
        <v>92</v>
      </c>
      <c r="F5" t="s">
        <v>2</v>
      </c>
      <c r="G5" t="s">
        <v>4</v>
      </c>
      <c r="H5">
        <f>E5/3.28</f>
        <v>28.04878048780488</v>
      </c>
      <c r="I5" t="s">
        <v>5</v>
      </c>
      <c r="J5" t="s">
        <v>6</v>
      </c>
    </row>
    <row r="7" spans="2:10">
      <c r="B7" t="s">
        <v>7</v>
      </c>
      <c r="F7" t="s">
        <v>64</v>
      </c>
    </row>
    <row r="9" spans="2:10">
      <c r="B9" s="4"/>
      <c r="C9" s="4"/>
      <c r="D9" s="4" t="s">
        <v>11</v>
      </c>
      <c r="E9" s="4" t="s">
        <v>12</v>
      </c>
      <c r="F9" s="4" t="s">
        <v>15</v>
      </c>
    </row>
    <row r="10" spans="2:10">
      <c r="B10" s="4" t="s">
        <v>8</v>
      </c>
      <c r="C10" s="4"/>
      <c r="D10" s="4">
        <v>5</v>
      </c>
      <c r="E10" s="4">
        <v>9</v>
      </c>
      <c r="F10" s="4">
        <f>D10/E10</f>
        <v>0.55555555555555558</v>
      </c>
    </row>
    <row r="11" spans="2:10">
      <c r="B11" s="4" t="s">
        <v>9</v>
      </c>
      <c r="C11" s="4"/>
      <c r="D11" s="4">
        <v>10</v>
      </c>
      <c r="E11" s="4">
        <v>14</v>
      </c>
      <c r="F11" s="4">
        <f t="shared" ref="F11:F22" si="0">D11/E11</f>
        <v>0.7142857142857143</v>
      </c>
    </row>
    <row r="12" spans="2:10">
      <c r="B12" s="4" t="s">
        <v>10</v>
      </c>
      <c r="C12" s="4"/>
      <c r="D12" s="4">
        <v>15</v>
      </c>
      <c r="E12" s="4">
        <v>55</v>
      </c>
      <c r="F12" s="4">
        <f t="shared" si="0"/>
        <v>0.27272727272727271</v>
      </c>
    </row>
    <row r="13" spans="2:10">
      <c r="B13" s="4"/>
      <c r="C13" s="4"/>
      <c r="D13" s="4">
        <v>0</v>
      </c>
      <c r="E13" s="4">
        <v>1</v>
      </c>
      <c r="F13" s="4">
        <f t="shared" si="0"/>
        <v>0</v>
      </c>
    </row>
    <row r="14" spans="2:10">
      <c r="B14" s="4"/>
      <c r="C14" s="4"/>
      <c r="D14" s="4">
        <v>0</v>
      </c>
      <c r="E14" s="4">
        <v>1</v>
      </c>
      <c r="F14" s="4">
        <f t="shared" si="0"/>
        <v>0</v>
      </c>
    </row>
    <row r="15" spans="2:10">
      <c r="B15" s="4"/>
      <c r="C15" s="4"/>
      <c r="D15" s="4">
        <v>0</v>
      </c>
      <c r="E15" s="4">
        <v>1</v>
      </c>
      <c r="F15" s="4">
        <f t="shared" si="0"/>
        <v>0</v>
      </c>
    </row>
    <row r="16" spans="2:10">
      <c r="B16" s="4"/>
      <c r="C16" s="4"/>
      <c r="D16" s="4">
        <v>0</v>
      </c>
      <c r="E16" s="4">
        <v>1</v>
      </c>
      <c r="F16" s="4">
        <f t="shared" si="0"/>
        <v>0</v>
      </c>
    </row>
    <row r="17" spans="2:8">
      <c r="B17" s="4"/>
      <c r="C17" s="4"/>
      <c r="D17" s="4">
        <v>0</v>
      </c>
      <c r="E17" s="4">
        <v>1</v>
      </c>
      <c r="F17" s="4">
        <f t="shared" si="0"/>
        <v>0</v>
      </c>
    </row>
    <row r="18" spans="2:8">
      <c r="B18" s="4"/>
      <c r="C18" s="4"/>
      <c r="D18" s="4">
        <v>0</v>
      </c>
      <c r="E18" s="4">
        <v>1</v>
      </c>
      <c r="F18" s="4">
        <f t="shared" si="0"/>
        <v>0</v>
      </c>
    </row>
    <row r="19" spans="2:8">
      <c r="B19" s="4"/>
      <c r="C19" s="4"/>
      <c r="D19" s="4">
        <v>0</v>
      </c>
      <c r="E19" s="4">
        <v>1</v>
      </c>
      <c r="F19" s="4">
        <f t="shared" si="0"/>
        <v>0</v>
      </c>
    </row>
    <row r="20" spans="2:8">
      <c r="B20" s="4"/>
      <c r="C20" s="4"/>
      <c r="D20" s="4">
        <v>0</v>
      </c>
      <c r="E20" s="4">
        <v>1</v>
      </c>
      <c r="F20" s="4">
        <f t="shared" si="0"/>
        <v>0</v>
      </c>
    </row>
    <row r="21" spans="2:8">
      <c r="B21" s="4"/>
      <c r="C21" s="4"/>
      <c r="D21" s="4">
        <v>0</v>
      </c>
      <c r="E21" s="4">
        <v>1</v>
      </c>
      <c r="F21" s="4">
        <f t="shared" si="0"/>
        <v>0</v>
      </c>
    </row>
    <row r="22" spans="2:8" ht="15.75" thickBot="1">
      <c r="B22" s="5"/>
      <c r="C22" s="5"/>
      <c r="D22" s="5">
        <v>0</v>
      </c>
      <c r="E22" s="4">
        <v>1</v>
      </c>
      <c r="F22" s="4">
        <f t="shared" si="0"/>
        <v>0</v>
      </c>
      <c r="G22" s="1"/>
      <c r="H22" s="1"/>
    </row>
    <row r="23" spans="2:8" ht="16.5" thickTop="1" thickBot="1">
      <c r="B23" s="6"/>
      <c r="C23" s="6"/>
      <c r="D23" s="6">
        <f>SUM(D10:D22)</f>
        <v>30</v>
      </c>
      <c r="E23" s="6"/>
      <c r="F23" s="6">
        <f>SUM(F10:F22)</f>
        <v>1.5425685425685425</v>
      </c>
    </row>
    <row r="24" spans="2:8" ht="15.75" thickTop="1"/>
    <row r="26" spans="2:8">
      <c r="B26" t="s">
        <v>13</v>
      </c>
      <c r="C26" t="s">
        <v>14</v>
      </c>
    </row>
    <row r="28" spans="2:8">
      <c r="B28" t="s">
        <v>65</v>
      </c>
      <c r="E28">
        <f>D23/F23</f>
        <v>19.448082319925163</v>
      </c>
    </row>
    <row r="79" spans="2:4">
      <c r="B79" s="7" t="s">
        <v>66</v>
      </c>
      <c r="C79" s="7"/>
      <c r="D79" s="7"/>
    </row>
    <row r="80" spans="2:4">
      <c r="B80" t="s">
        <v>16</v>
      </c>
      <c r="D80" s="3" t="s">
        <v>17</v>
      </c>
    </row>
    <row r="81" spans="4:4">
      <c r="D81" s="3"/>
    </row>
    <row r="82" spans="4:4">
      <c r="D82" s="3"/>
    </row>
    <row r="83" spans="4:4">
      <c r="D83" s="3"/>
    </row>
    <row r="84" spans="4:4">
      <c r="D84" s="3"/>
    </row>
    <row r="85" spans="4:4">
      <c r="D85" s="3"/>
    </row>
    <row r="86" spans="4:4">
      <c r="D86" s="3"/>
    </row>
    <row r="87" spans="4:4">
      <c r="D87" s="3"/>
    </row>
    <row r="88" spans="4:4">
      <c r="D88" s="3"/>
    </row>
    <row r="89" spans="4:4">
      <c r="D89" s="3"/>
    </row>
    <row r="90" spans="4:4">
      <c r="D90" s="3"/>
    </row>
    <row r="91" spans="4:4">
      <c r="D91" s="3"/>
    </row>
    <row r="92" spans="4:4">
      <c r="D92" s="3"/>
    </row>
    <row r="93" spans="4:4">
      <c r="D93" s="3"/>
    </row>
    <row r="94" spans="4:4">
      <c r="D94" s="3"/>
    </row>
    <row r="95" spans="4:4">
      <c r="D95" s="3"/>
    </row>
    <row r="96" spans="4:4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  <row r="102" spans="4:4">
      <c r="D102" s="3"/>
    </row>
    <row r="103" spans="4:4">
      <c r="D103" s="3"/>
    </row>
    <row r="104" spans="4:4">
      <c r="D104" s="3"/>
    </row>
    <row r="105" spans="4:4">
      <c r="D105" s="3"/>
    </row>
    <row r="106" spans="4:4">
      <c r="D106" s="3"/>
    </row>
    <row r="107" spans="4:4">
      <c r="D107" s="3"/>
    </row>
    <row r="108" spans="4:4">
      <c r="D108" s="3"/>
    </row>
    <row r="109" spans="4:4">
      <c r="D109" s="3"/>
    </row>
    <row r="110" spans="4:4">
      <c r="D110" s="3"/>
    </row>
    <row r="111" spans="4:4">
      <c r="D111" s="3"/>
    </row>
    <row r="112" spans="4:4">
      <c r="D112" s="3"/>
    </row>
    <row r="113" spans="2:6">
      <c r="B113" s="7" t="s">
        <v>67</v>
      </c>
      <c r="C113" s="7"/>
      <c r="D113" s="8"/>
      <c r="E113" s="7"/>
    </row>
    <row r="114" spans="2:6">
      <c r="B114" t="s">
        <v>31</v>
      </c>
      <c r="D114" s="3">
        <v>3</v>
      </c>
    </row>
    <row r="115" spans="2:6">
      <c r="B115" t="s">
        <v>18</v>
      </c>
      <c r="E115">
        <v>0.28000000000000003</v>
      </c>
      <c r="F115" t="s">
        <v>19</v>
      </c>
    </row>
    <row r="117" spans="2:6">
      <c r="B117" t="s">
        <v>20</v>
      </c>
    </row>
    <row r="202" spans="2:7">
      <c r="B202" t="s">
        <v>68</v>
      </c>
      <c r="G202" s="3">
        <v>2</v>
      </c>
    </row>
    <row r="204" spans="2:7">
      <c r="B204" t="s">
        <v>21</v>
      </c>
      <c r="F204" s="3">
        <v>1</v>
      </c>
      <c r="G204" t="s">
        <v>22</v>
      </c>
    </row>
    <row r="222" spans="2:5">
      <c r="B222" t="s">
        <v>26</v>
      </c>
    </row>
    <row r="224" spans="2:5">
      <c r="B224" t="s">
        <v>23</v>
      </c>
      <c r="C224" s="3">
        <v>4.6600000000000003E-2</v>
      </c>
      <c r="E224" t="s">
        <v>26</v>
      </c>
    </row>
    <row r="225" spans="2:5">
      <c r="B225" t="s">
        <v>24</v>
      </c>
      <c r="C225" s="3">
        <v>0.9</v>
      </c>
      <c r="E225" t="s">
        <v>26</v>
      </c>
    </row>
    <row r="227" spans="2:5">
      <c r="B227" t="s">
        <v>25</v>
      </c>
      <c r="E227" s="10">
        <f>C224*H5^C225</f>
        <v>0.93650155312580263</v>
      </c>
    </row>
    <row r="229" spans="2:5">
      <c r="B229" t="s">
        <v>29</v>
      </c>
      <c r="E229" s="9">
        <f>1/E227</f>
        <v>1.0678038884850278</v>
      </c>
    </row>
    <row r="230" spans="2:5">
      <c r="E230" s="9"/>
    </row>
    <row r="231" spans="2:5">
      <c r="E231" s="9"/>
    </row>
    <row r="232" spans="2:5">
      <c r="E232" s="9"/>
    </row>
    <row r="233" spans="2:5">
      <c r="E233" s="9"/>
    </row>
    <row r="234" spans="2:5">
      <c r="E234" s="9"/>
    </row>
    <row r="235" spans="2:5">
      <c r="E235" s="9"/>
    </row>
    <row r="236" spans="2:5">
      <c r="E236" s="9"/>
    </row>
    <row r="237" spans="2:5">
      <c r="E237" s="9"/>
    </row>
    <row r="238" spans="2:5">
      <c r="E238" s="9"/>
    </row>
    <row r="239" spans="2:5">
      <c r="E239" s="9"/>
    </row>
    <row r="240" spans="2:5">
      <c r="E240" s="9"/>
    </row>
    <row r="241" spans="5:5">
      <c r="E241" s="9"/>
    </row>
    <row r="242" spans="5:5">
      <c r="E242" s="9"/>
    </row>
    <row r="243" spans="5:5">
      <c r="E243" s="9"/>
    </row>
    <row r="244" spans="5:5">
      <c r="E244" s="9"/>
    </row>
    <row r="245" spans="5:5">
      <c r="E245" s="9"/>
    </row>
    <row r="246" spans="5:5">
      <c r="E246" s="9"/>
    </row>
    <row r="247" spans="5:5">
      <c r="E247" s="9"/>
    </row>
    <row r="248" spans="5:5">
      <c r="E248" s="9"/>
    </row>
    <row r="249" spans="5:5">
      <c r="E249" s="9"/>
    </row>
    <row r="250" spans="5:5">
      <c r="E250" s="9"/>
    </row>
    <row r="251" spans="5:5">
      <c r="E251" s="9"/>
    </row>
    <row r="252" spans="5:5">
      <c r="E252" s="9"/>
    </row>
    <row r="253" spans="5:5">
      <c r="E253" s="9"/>
    </row>
    <row r="254" spans="5:5">
      <c r="E254" s="9"/>
    </row>
    <row r="255" spans="5:5">
      <c r="E255" s="9"/>
    </row>
    <row r="256" spans="5:5">
      <c r="E256" s="9"/>
    </row>
    <row r="257" spans="2:6">
      <c r="E257" s="9"/>
    </row>
    <row r="258" spans="2:6">
      <c r="E258" s="9"/>
    </row>
    <row r="259" spans="2:6">
      <c r="E259" s="9"/>
    </row>
    <row r="260" spans="2:6">
      <c r="E260" s="9"/>
    </row>
    <row r="261" spans="2:6">
      <c r="E261" s="9"/>
    </row>
    <row r="262" spans="2:6">
      <c r="E262" s="9"/>
    </row>
    <row r="263" spans="2:6">
      <c r="B263" t="s">
        <v>28</v>
      </c>
      <c r="E263" s="9"/>
    </row>
    <row r="264" spans="2:6">
      <c r="B264" t="s">
        <v>30</v>
      </c>
      <c r="F264" s="11" t="str">
        <f>IF(E229&lt;1, "semi-rigid","rigid")</f>
        <v>rigid</v>
      </c>
    </row>
    <row r="265" spans="2:6">
      <c r="B265" t="s">
        <v>27</v>
      </c>
      <c r="E265" s="9"/>
    </row>
    <row r="266" spans="2:6">
      <c r="E266" s="9"/>
    </row>
    <row r="267" spans="2:6">
      <c r="E267" s="9"/>
    </row>
    <row r="277" spans="2:5">
      <c r="B277" t="s">
        <v>69</v>
      </c>
    </row>
    <row r="278" spans="2:5">
      <c r="B278" t="s">
        <v>32</v>
      </c>
      <c r="E278" s="12" t="s">
        <v>33</v>
      </c>
    </row>
    <row r="279" spans="2:5">
      <c r="E279" s="12"/>
    </row>
    <row r="280" spans="2:5">
      <c r="E280" s="12"/>
    </row>
    <row r="281" spans="2:5">
      <c r="E281" s="12"/>
    </row>
    <row r="282" spans="2:5">
      <c r="E282" s="12"/>
    </row>
    <row r="283" spans="2:5">
      <c r="E283" s="12"/>
    </row>
    <row r="284" spans="2:5">
      <c r="E284" s="12"/>
    </row>
    <row r="285" spans="2:5">
      <c r="E285" s="12"/>
    </row>
    <row r="286" spans="2:5">
      <c r="E286" s="12"/>
    </row>
    <row r="287" spans="2:5">
      <c r="E287" s="12"/>
    </row>
    <row r="288" spans="2:5">
      <c r="E288" s="12"/>
    </row>
    <row r="289" spans="5:5">
      <c r="E289" s="12"/>
    </row>
    <row r="290" spans="5:5">
      <c r="E290" s="12"/>
    </row>
    <row r="291" spans="5:5">
      <c r="E291" s="12"/>
    </row>
    <row r="292" spans="5:5">
      <c r="E292" s="12"/>
    </row>
    <row r="293" spans="5:5">
      <c r="E293" s="12"/>
    </row>
    <row r="294" spans="5:5">
      <c r="E294" s="12"/>
    </row>
    <row r="295" spans="5:5">
      <c r="E295" s="12"/>
    </row>
    <row r="296" spans="5:5">
      <c r="E296" s="12"/>
    </row>
    <row r="297" spans="5:5">
      <c r="E297" s="12"/>
    </row>
    <row r="298" spans="5:5">
      <c r="E298" s="12"/>
    </row>
    <row r="404" spans="2:6">
      <c r="B404" t="s">
        <v>37</v>
      </c>
    </row>
    <row r="405" spans="2:6">
      <c r="B405" t="s">
        <v>35</v>
      </c>
      <c r="F405" s="12">
        <v>7</v>
      </c>
    </row>
    <row r="406" spans="2:6">
      <c r="B406" t="s">
        <v>36</v>
      </c>
      <c r="F406" s="12">
        <v>2.5</v>
      </c>
    </row>
    <row r="407" spans="2:6">
      <c r="B407" t="s">
        <v>34</v>
      </c>
      <c r="F407" s="12">
        <v>5.5</v>
      </c>
    </row>
    <row r="409" spans="2:6">
      <c r="B409" t="s">
        <v>38</v>
      </c>
    </row>
    <row r="439" spans="2:6">
      <c r="B439" t="s">
        <v>39</v>
      </c>
    </row>
    <row r="441" spans="2:6">
      <c r="B441" t="s">
        <v>40</v>
      </c>
      <c r="C441">
        <v>0.7</v>
      </c>
    </row>
    <row r="442" spans="2:6">
      <c r="B442" t="s">
        <v>41</v>
      </c>
      <c r="C442">
        <v>0.28000000000000003</v>
      </c>
    </row>
    <row r="444" spans="2:6">
      <c r="B444" t="s">
        <v>42</v>
      </c>
      <c r="E444">
        <v>2</v>
      </c>
      <c r="F444" t="s">
        <v>43</v>
      </c>
    </row>
    <row r="446" spans="2:6">
      <c r="B446" t="s">
        <v>44</v>
      </c>
      <c r="E446">
        <v>1.1499999999999999</v>
      </c>
    </row>
    <row r="447" spans="2:6">
      <c r="B447" t="s">
        <v>45</v>
      </c>
      <c r="E447">
        <v>1.7250000000000001</v>
      </c>
    </row>
    <row r="462" spans="2:4">
      <c r="B462" t="s">
        <v>46</v>
      </c>
    </row>
    <row r="464" spans="2:4">
      <c r="B464" t="s">
        <v>47</v>
      </c>
      <c r="C464" s="12">
        <v>0.2</v>
      </c>
      <c r="D464" t="s">
        <v>43</v>
      </c>
    </row>
    <row r="465" spans="2:5">
      <c r="B465" t="s">
        <v>48</v>
      </c>
      <c r="C465" s="12">
        <v>0.6</v>
      </c>
      <c r="D465" t="s">
        <v>43</v>
      </c>
    </row>
    <row r="466" spans="2:5">
      <c r="B466" t="s">
        <v>49</v>
      </c>
      <c r="C466" s="12">
        <v>2</v>
      </c>
      <c r="D466" t="s">
        <v>43</v>
      </c>
    </row>
    <row r="467" spans="2:5">
      <c r="B467" t="s">
        <v>50</v>
      </c>
      <c r="C467" s="9">
        <f>E227</f>
        <v>0.93650155312580263</v>
      </c>
    </row>
    <row r="468" spans="2:5">
      <c r="B468" t="s">
        <v>52</v>
      </c>
      <c r="C468" s="12">
        <f>1.15</f>
        <v>1.1499999999999999</v>
      </c>
    </row>
    <row r="469" spans="2:5">
      <c r="B469" s="2" t="s">
        <v>53</v>
      </c>
      <c r="C469" s="12">
        <v>1</v>
      </c>
      <c r="E469" t="s">
        <v>54</v>
      </c>
    </row>
    <row r="470" spans="2:5">
      <c r="B470" s="2" t="s">
        <v>57</v>
      </c>
      <c r="C470">
        <f>E115</f>
        <v>0.28000000000000003</v>
      </c>
    </row>
    <row r="471" spans="2:5">
      <c r="B471" s="2" t="s">
        <v>58</v>
      </c>
      <c r="C471">
        <f>F204</f>
        <v>1</v>
      </c>
    </row>
    <row r="472" spans="2:5">
      <c r="B472" s="2" t="s">
        <v>59</v>
      </c>
      <c r="C472">
        <f>F405</f>
        <v>7</v>
      </c>
    </row>
    <row r="473" spans="2:5">
      <c r="B473" s="2" t="s">
        <v>60</v>
      </c>
      <c r="C473" s="12">
        <v>0.11</v>
      </c>
    </row>
    <row r="474" spans="2:5">
      <c r="B474" s="2"/>
    </row>
    <row r="475" spans="2:5">
      <c r="B475" s="2"/>
    </row>
    <row r="476" spans="2:5">
      <c r="B476" s="2"/>
    </row>
    <row r="477" spans="2:5">
      <c r="B477" s="2"/>
    </row>
    <row r="478" spans="2:5">
      <c r="B478" s="2"/>
    </row>
    <row r="479" spans="2:5">
      <c r="B479" s="2"/>
    </row>
    <row r="480" spans="2:5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8">
      <c r="B529" s="2"/>
    </row>
    <row r="530" spans="2:8">
      <c r="B530" t="s">
        <v>51</v>
      </c>
    </row>
    <row r="532" spans="2:8">
      <c r="B532" t="s">
        <v>56</v>
      </c>
      <c r="C532" s="12">
        <v>1.84</v>
      </c>
    </row>
    <row r="533" spans="2:8">
      <c r="B533" t="s">
        <v>61</v>
      </c>
      <c r="C533" s="12">
        <f>0.67*C473*C470*C471*C468</f>
        <v>2.37314E-2</v>
      </c>
    </row>
    <row r="534" spans="2:8">
      <c r="B534" t="s">
        <v>55</v>
      </c>
      <c r="C534">
        <f>(2/3)*(C470*C471/C472)*C532</f>
        <v>4.9066666666666668E-2</v>
      </c>
      <c r="E534" t="str">
        <f>IF(C533&lt;C534, "hence ok", "hence not ok")</f>
        <v>hence ok</v>
      </c>
    </row>
    <row r="535" spans="2:8">
      <c r="B535" t="s">
        <v>62</v>
      </c>
      <c r="C535">
        <f>C534*100</f>
        <v>4.9066666666666672</v>
      </c>
      <c r="D535" t="s">
        <v>63</v>
      </c>
      <c r="E535" s="8" t="s">
        <v>476</v>
      </c>
      <c r="F535" s="7"/>
      <c r="G535" s="7"/>
      <c r="H535" s="7"/>
    </row>
    <row r="537" spans="2:8">
      <c r="C537" s="81"/>
      <c r="D537" s="81"/>
      <c r="E537" s="81"/>
      <c r="F537" s="8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69"/>
  <sheetViews>
    <sheetView topLeftCell="A184" workbookViewId="0">
      <selection activeCell="L4" sqref="L4:L26"/>
    </sheetView>
  </sheetViews>
  <sheetFormatPr defaultRowHeight="15"/>
  <cols>
    <col min="3" max="3" width="13.7109375" customWidth="1"/>
  </cols>
  <sheetData>
    <row r="3" spans="2:12">
      <c r="B3" s="7" t="s">
        <v>70</v>
      </c>
      <c r="C3" s="7"/>
      <c r="D3" s="7"/>
      <c r="E3" s="7"/>
    </row>
    <row r="4" spans="2:12">
      <c r="L4" s="13" t="s">
        <v>383</v>
      </c>
    </row>
    <row r="5" spans="2:12">
      <c r="B5" s="13" t="s">
        <v>71</v>
      </c>
      <c r="L5" s="13" t="s">
        <v>384</v>
      </c>
    </row>
    <row r="6" spans="2:12">
      <c r="B6" s="13" t="s">
        <v>72</v>
      </c>
      <c r="L6" s="13" t="s">
        <v>385</v>
      </c>
    </row>
    <row r="7" spans="2:12">
      <c r="B7" s="13" t="s">
        <v>73</v>
      </c>
      <c r="L7" s="13" t="s">
        <v>386</v>
      </c>
    </row>
    <row r="8" spans="2:12">
      <c r="B8" s="13" t="s">
        <v>74</v>
      </c>
      <c r="L8" s="13" t="s">
        <v>387</v>
      </c>
    </row>
    <row r="9" spans="2:12">
      <c r="B9" s="13" t="s">
        <v>75</v>
      </c>
      <c r="L9" s="13" t="s">
        <v>388</v>
      </c>
    </row>
    <row r="10" spans="2:12">
      <c r="B10" s="13" t="s">
        <v>76</v>
      </c>
      <c r="L10" s="13" t="s">
        <v>389</v>
      </c>
    </row>
    <row r="11" spans="2:12">
      <c r="L11" s="13" t="s">
        <v>390</v>
      </c>
    </row>
    <row r="12" spans="2:12">
      <c r="L12" s="13" t="s">
        <v>391</v>
      </c>
    </row>
    <row r="13" spans="2:12">
      <c r="B13" s="13" t="s">
        <v>77</v>
      </c>
      <c r="L13" s="13" t="s">
        <v>392</v>
      </c>
    </row>
    <row r="14" spans="2:12">
      <c r="B14" s="13" t="s">
        <v>78</v>
      </c>
      <c r="L14" s="13" t="s">
        <v>393</v>
      </c>
    </row>
    <row r="15" spans="2:12">
      <c r="B15" s="49" t="s">
        <v>79</v>
      </c>
      <c r="C15" s="7"/>
      <c r="D15" s="7"/>
      <c r="E15" s="7"/>
      <c r="F15" s="7"/>
      <c r="G15" s="7"/>
      <c r="H15" s="7"/>
      <c r="L15" s="13" t="s">
        <v>394</v>
      </c>
    </row>
    <row r="16" spans="2:12">
      <c r="B16" s="49" t="s">
        <v>78</v>
      </c>
      <c r="C16" s="7"/>
      <c r="D16" s="7"/>
      <c r="E16" s="7"/>
      <c r="F16" s="7"/>
      <c r="G16" s="7"/>
      <c r="H16" s="7"/>
      <c r="L16" s="13" t="s">
        <v>395</v>
      </c>
    </row>
    <row r="17" spans="2:12">
      <c r="B17" s="13" t="s">
        <v>80</v>
      </c>
      <c r="L17" s="13" t="s">
        <v>396</v>
      </c>
    </row>
    <row r="18" spans="2:12">
      <c r="L18" s="13" t="s">
        <v>397</v>
      </c>
    </row>
    <row r="19" spans="2:12">
      <c r="B19" s="49" t="s">
        <v>81</v>
      </c>
      <c r="C19" s="7"/>
      <c r="D19" s="7"/>
      <c r="E19" s="7"/>
      <c r="F19" s="7"/>
      <c r="L19" s="13" t="s">
        <v>398</v>
      </c>
    </row>
    <row r="20" spans="2:12">
      <c r="L20" s="13" t="s">
        <v>399</v>
      </c>
    </row>
    <row r="21" spans="2:12">
      <c r="L21" s="13" t="s">
        <v>400</v>
      </c>
    </row>
    <row r="22" spans="2:12">
      <c r="L22" s="13" t="s">
        <v>401</v>
      </c>
    </row>
    <row r="23" spans="2:12">
      <c r="L23" s="13" t="s">
        <v>402</v>
      </c>
    </row>
    <row r="24" spans="2:12">
      <c r="L24" s="13" t="s">
        <v>403</v>
      </c>
    </row>
    <row r="25" spans="2:12">
      <c r="L25" s="13" t="s">
        <v>404</v>
      </c>
    </row>
    <row r="26" spans="2:12">
      <c r="L26" s="13" t="s">
        <v>405</v>
      </c>
    </row>
    <row r="63" spans="2:12">
      <c r="B63" t="s">
        <v>85</v>
      </c>
      <c r="I63" t="s">
        <v>86</v>
      </c>
    </row>
    <row r="64" spans="2:12">
      <c r="B64" t="s">
        <v>82</v>
      </c>
      <c r="D64" s="3">
        <v>95.5</v>
      </c>
      <c r="E64" t="s">
        <v>2</v>
      </c>
      <c r="I64" t="s">
        <v>82</v>
      </c>
      <c r="K64" s="3">
        <v>40.832999999999998</v>
      </c>
      <c r="L64" t="s">
        <v>2</v>
      </c>
    </row>
    <row r="65" spans="2:12">
      <c r="B65" t="s">
        <v>83</v>
      </c>
      <c r="D65" s="3">
        <v>40.832999999999998</v>
      </c>
      <c r="E65" t="s">
        <v>2</v>
      </c>
      <c r="I65" t="s">
        <v>83</v>
      </c>
      <c r="K65" s="3">
        <v>95.5</v>
      </c>
      <c r="L65" t="s">
        <v>2</v>
      </c>
    </row>
    <row r="67" spans="2:12">
      <c r="B67" t="s">
        <v>84</v>
      </c>
      <c r="D67">
        <f>D64/D65</f>
        <v>2.3387946024049175</v>
      </c>
      <c r="E67" t="s">
        <v>2</v>
      </c>
      <c r="I67" t="s">
        <v>84</v>
      </c>
      <c r="K67">
        <f>K64/K65</f>
        <v>0.42757068062827225</v>
      </c>
      <c r="L67" t="s">
        <v>2</v>
      </c>
    </row>
    <row r="70" spans="2:12">
      <c r="B70" t="s">
        <v>87</v>
      </c>
    </row>
    <row r="72" spans="2:12">
      <c r="B72" s="3">
        <v>2</v>
      </c>
      <c r="C72" s="3">
        <v>4</v>
      </c>
      <c r="D72" t="s">
        <v>4</v>
      </c>
      <c r="E72">
        <f>B72-C72</f>
        <v>-2</v>
      </c>
      <c r="F72">
        <f>E73/E72</f>
        <v>4.9999999999999989E-2</v>
      </c>
    </row>
    <row r="73" spans="2:12">
      <c r="B73" s="3">
        <v>-0.3</v>
      </c>
      <c r="C73" s="3">
        <v>-0.2</v>
      </c>
      <c r="D73" t="s">
        <v>4</v>
      </c>
      <c r="E73">
        <f>B73-C73</f>
        <v>-9.9999999999999978E-2</v>
      </c>
    </row>
    <row r="74" spans="2:12">
      <c r="B74">
        <f>D67</f>
        <v>2.3387946024049175</v>
      </c>
      <c r="D74" t="s">
        <v>4</v>
      </c>
      <c r="E74">
        <f>B74-B72</f>
        <v>0.33879460240491754</v>
      </c>
      <c r="F74">
        <f>E74*F72</f>
        <v>1.6939730120245872E-2</v>
      </c>
    </row>
    <row r="75" spans="2:12">
      <c r="B75">
        <f>B73+F74</f>
        <v>-0.28306026987975413</v>
      </c>
    </row>
    <row r="77" spans="2:12">
      <c r="B77" t="s">
        <v>88</v>
      </c>
      <c r="E77" s="11">
        <f>0.8</f>
        <v>0.8</v>
      </c>
    </row>
    <row r="78" spans="2:12">
      <c r="B78" t="s">
        <v>89</v>
      </c>
      <c r="E78" s="10">
        <f>B75</f>
        <v>-0.28306026987975413</v>
      </c>
    </row>
    <row r="80" spans="2:12">
      <c r="B80" s="7" t="s">
        <v>90</v>
      </c>
      <c r="C80" s="7"/>
      <c r="D80" s="7"/>
    </row>
    <row r="114" spans="2:5">
      <c r="B114" s="7" t="s">
        <v>91</v>
      </c>
      <c r="C114" s="7"/>
      <c r="D114" s="7"/>
      <c r="E114" s="7"/>
    </row>
    <row r="116" spans="2:5">
      <c r="B116" s="15" t="s">
        <v>92</v>
      </c>
      <c r="C116" s="15"/>
      <c r="D116" s="15"/>
      <c r="E116" s="15"/>
    </row>
    <row r="117" spans="2:5">
      <c r="B117" t="s">
        <v>93</v>
      </c>
    </row>
    <row r="118" spans="2:5">
      <c r="B118" t="s">
        <v>94</v>
      </c>
    </row>
    <row r="119" spans="2:5">
      <c r="B119" t="s">
        <v>95</v>
      </c>
    </row>
    <row r="120" spans="2:5">
      <c r="B120" t="s">
        <v>96</v>
      </c>
    </row>
    <row r="121" spans="2:5">
      <c r="B121" t="s">
        <v>97</v>
      </c>
    </row>
    <row r="122" spans="2:5">
      <c r="B122" t="s">
        <v>98</v>
      </c>
    </row>
    <row r="123" spans="2:5">
      <c r="B123" t="s">
        <v>99</v>
      </c>
    </row>
    <row r="124" spans="2:5">
      <c r="B124" t="s">
        <v>100</v>
      </c>
    </row>
    <row r="125" spans="2:5">
      <c r="B125" t="s">
        <v>101</v>
      </c>
    </row>
    <row r="126" spans="2:5">
      <c r="B126" t="s">
        <v>102</v>
      </c>
    </row>
    <row r="127" spans="2:5">
      <c r="B127" t="s">
        <v>103</v>
      </c>
    </row>
    <row r="128" spans="2:5">
      <c r="B128" t="s">
        <v>104</v>
      </c>
    </row>
    <row r="129" spans="2:4">
      <c r="B129" t="s">
        <v>105</v>
      </c>
    </row>
    <row r="130" spans="2:4">
      <c r="B130" s="15" t="s">
        <v>106</v>
      </c>
      <c r="C130" s="15"/>
      <c r="D130" s="15"/>
    </row>
    <row r="131" spans="2:4">
      <c r="B131" t="s">
        <v>107</v>
      </c>
    </row>
    <row r="132" spans="2:4">
      <c r="B132" t="s">
        <v>108</v>
      </c>
    </row>
    <row r="133" spans="2:4">
      <c r="B133" t="s">
        <v>109</v>
      </c>
    </row>
    <row r="134" spans="2:4">
      <c r="B134" t="s">
        <v>110</v>
      </c>
    </row>
    <row r="135" spans="2:4">
      <c r="B135" t="s">
        <v>111</v>
      </c>
    </row>
    <row r="136" spans="2:4">
      <c r="B136" t="s">
        <v>112</v>
      </c>
    </row>
    <row r="137" spans="2:4">
      <c r="B137" t="s">
        <v>113</v>
      </c>
    </row>
    <row r="138" spans="2:4">
      <c r="B138" t="s">
        <v>114</v>
      </c>
    </row>
    <row r="139" spans="2:4">
      <c r="B139" t="s">
        <v>115</v>
      </c>
    </row>
    <row r="140" spans="2:4">
      <c r="B140" t="s">
        <v>116</v>
      </c>
    </row>
    <row r="141" spans="2:4">
      <c r="B141" t="s">
        <v>117</v>
      </c>
    </row>
    <row r="142" spans="2:4">
      <c r="B142" t="s">
        <v>118</v>
      </c>
    </row>
    <row r="143" spans="2:4">
      <c r="B143" t="s">
        <v>119</v>
      </c>
    </row>
    <row r="144" spans="2:4">
      <c r="B144" t="s">
        <v>120</v>
      </c>
    </row>
    <row r="145" spans="2:7">
      <c r="B145" t="s">
        <v>121</v>
      </c>
    </row>
    <row r="146" spans="2:7">
      <c r="B146" t="s">
        <v>122</v>
      </c>
    </row>
    <row r="147" spans="2:7">
      <c r="B147" t="s">
        <v>123</v>
      </c>
    </row>
    <row r="149" spans="2:7">
      <c r="B149" t="s">
        <v>124</v>
      </c>
      <c r="E149" s="3" t="s">
        <v>125</v>
      </c>
      <c r="F149" t="s">
        <v>351</v>
      </c>
    </row>
    <row r="152" spans="2:7">
      <c r="B152" s="7" t="s">
        <v>126</v>
      </c>
      <c r="C152" s="7"/>
      <c r="D152" s="7"/>
      <c r="E152">
        <f>Seismic!G202</f>
        <v>2</v>
      </c>
      <c r="G152" t="s">
        <v>128</v>
      </c>
    </row>
    <row r="153" spans="2:7">
      <c r="B153" s="7" t="s">
        <v>127</v>
      </c>
      <c r="C153" s="7"/>
      <c r="D153" s="7"/>
      <c r="E153" s="12">
        <f>Seismic!F204</f>
        <v>1</v>
      </c>
      <c r="G153" t="s">
        <v>352</v>
      </c>
    </row>
    <row r="226" spans="2:8">
      <c r="B226" t="s">
        <v>381</v>
      </c>
      <c r="H226" t="s">
        <v>382</v>
      </c>
    </row>
    <row r="236" spans="2:8">
      <c r="B236" s="7" t="s">
        <v>129</v>
      </c>
      <c r="C236" s="7"/>
      <c r="D236" s="7"/>
    </row>
    <row r="247" spans="2:10">
      <c r="B247" t="s">
        <v>130</v>
      </c>
      <c r="C247" s="12">
        <v>1</v>
      </c>
    </row>
    <row r="249" spans="2:10">
      <c r="B249" s="7" t="s">
        <v>131</v>
      </c>
      <c r="C249" s="7"/>
      <c r="D249" s="7"/>
      <c r="J249" t="s">
        <v>359</v>
      </c>
    </row>
    <row r="250" spans="2:10">
      <c r="J250" t="s">
        <v>359</v>
      </c>
    </row>
    <row r="254" spans="2:10">
      <c r="J254" t="s">
        <v>359</v>
      </c>
    </row>
    <row r="255" spans="2:10">
      <c r="J255" t="s">
        <v>359</v>
      </c>
    </row>
    <row r="262" spans="2:7">
      <c r="B262" t="s">
        <v>132</v>
      </c>
      <c r="G262" s="14">
        <v>0.85</v>
      </c>
    </row>
    <row r="263" spans="2:7">
      <c r="B263" t="s">
        <v>133</v>
      </c>
    </row>
    <row r="280" spans="2:9">
      <c r="G280" t="s">
        <v>355</v>
      </c>
      <c r="H280" t="s">
        <v>356</v>
      </c>
    </row>
    <row r="281" spans="2:9">
      <c r="B281" t="s">
        <v>357</v>
      </c>
      <c r="D281">
        <f>Seismic!H5*0.6</f>
        <v>16.829268292682926</v>
      </c>
      <c r="E281" t="s">
        <v>5</v>
      </c>
      <c r="F281" t="s">
        <v>354</v>
      </c>
      <c r="G281" s="3">
        <v>9.14</v>
      </c>
      <c r="H281" s="53" t="str">
        <f>E149</f>
        <v>A</v>
      </c>
      <c r="I281" s="7" t="str">
        <f>IF(G281&lt;D281,"hence ok","ok")</f>
        <v>hence ok</v>
      </c>
    </row>
    <row r="282" spans="2:9">
      <c r="B282" t="s">
        <v>358</v>
      </c>
      <c r="D282">
        <v>0.3</v>
      </c>
    </row>
    <row r="284" spans="2:9">
      <c r="B284" t="s">
        <v>360</v>
      </c>
      <c r="D284">
        <f>D282*(10/D281)^(1/6)</f>
        <v>0.27507030925517384</v>
      </c>
    </row>
    <row r="285" spans="2:9">
      <c r="B285" t="s">
        <v>361</v>
      </c>
      <c r="D285">
        <v>3.4</v>
      </c>
    </row>
    <row r="286" spans="2:9">
      <c r="B286" t="s">
        <v>362</v>
      </c>
      <c r="D286">
        <v>97.54</v>
      </c>
      <c r="E286" t="s">
        <v>5</v>
      </c>
    </row>
    <row r="287" spans="2:9">
      <c r="B287" s="2" t="s">
        <v>363</v>
      </c>
      <c r="D287">
        <f>1/3</f>
        <v>0.33333333333333331</v>
      </c>
    </row>
    <row r="288" spans="2:9">
      <c r="B288" s="2" t="s">
        <v>364</v>
      </c>
      <c r="D288">
        <f>D286*(D281/10)^D287</f>
        <v>116.02132722321232</v>
      </c>
    </row>
    <row r="289" spans="2:7">
      <c r="B289" s="2" t="s">
        <v>83</v>
      </c>
      <c r="D289">
        <f>Seismic!H4</f>
        <v>12.449085365853659</v>
      </c>
    </row>
    <row r="290" spans="2:7">
      <c r="B290" s="2" t="s">
        <v>353</v>
      </c>
      <c r="D290">
        <f>Seismic!H5</f>
        <v>28.04878048780488</v>
      </c>
    </row>
    <row r="291" spans="2:7">
      <c r="B291" s="2" t="s">
        <v>365</v>
      </c>
      <c r="D291">
        <f>(D289+D290)/D288</f>
        <v>0.34905535751840766</v>
      </c>
    </row>
    <row r="292" spans="2:7">
      <c r="B292" s="2" t="s">
        <v>366</v>
      </c>
      <c r="D292">
        <f>D291^0.63</f>
        <v>0.51525642292014728</v>
      </c>
    </row>
    <row r="293" spans="2:7">
      <c r="B293" s="2" t="s">
        <v>367</v>
      </c>
      <c r="D293">
        <f>0.63*D292</f>
        <v>0.32461154643969281</v>
      </c>
    </row>
    <row r="294" spans="2:7">
      <c r="B294" s="2" t="s">
        <v>368</v>
      </c>
      <c r="D294">
        <f>1+D293</f>
        <v>1.3246115464396928</v>
      </c>
    </row>
    <row r="295" spans="2:7">
      <c r="B295" s="2" t="s">
        <v>369</v>
      </c>
      <c r="D295" s="7">
        <f>SQRT(1/D294)</f>
        <v>0.86887185952936175</v>
      </c>
    </row>
    <row r="298" spans="2:7">
      <c r="B298" t="s">
        <v>370</v>
      </c>
    </row>
    <row r="300" spans="2:7">
      <c r="B300" s="2" t="s">
        <v>371</v>
      </c>
      <c r="D300" s="12">
        <f>1/4</f>
        <v>0.25</v>
      </c>
      <c r="G300" t="s">
        <v>359</v>
      </c>
    </row>
    <row r="301" spans="2:7">
      <c r="B301" t="s">
        <v>372</v>
      </c>
      <c r="D301" s="12">
        <v>0.45</v>
      </c>
      <c r="G301" t="s">
        <v>359</v>
      </c>
    </row>
    <row r="302" spans="2:7">
      <c r="B302" t="s">
        <v>380</v>
      </c>
      <c r="D302" s="9">
        <f>Seismic!E229</f>
        <v>1.0678038884850278</v>
      </c>
    </row>
    <row r="303" spans="2:7">
      <c r="B303" t="s">
        <v>373</v>
      </c>
      <c r="D303">
        <f>D281</f>
        <v>16.829268292682926</v>
      </c>
    </row>
    <row r="304" spans="2:7">
      <c r="B304" t="s">
        <v>374</v>
      </c>
      <c r="D304">
        <f>D303/10</f>
        <v>1.6829268292682926</v>
      </c>
    </row>
    <row r="305" spans="2:9">
      <c r="B305" t="s">
        <v>375</v>
      </c>
      <c r="D305">
        <f>D304^D300</f>
        <v>1.1389805517503715</v>
      </c>
    </row>
    <row r="306" spans="2:9">
      <c r="B306" t="s">
        <v>376</v>
      </c>
      <c r="D306">
        <v>80</v>
      </c>
      <c r="E306" t="s">
        <v>377</v>
      </c>
    </row>
    <row r="307" spans="2:9">
      <c r="B307" t="s">
        <v>378</v>
      </c>
      <c r="D307">
        <f>D289</f>
        <v>12.449085365853659</v>
      </c>
    </row>
    <row r="308" spans="2:9">
      <c r="B308" t="s">
        <v>379</v>
      </c>
      <c r="D308">
        <f>D306*D307*D305</f>
        <v>1134.3412895029981</v>
      </c>
    </row>
    <row r="309" spans="2:9">
      <c r="B309" t="s">
        <v>353</v>
      </c>
      <c r="D309">
        <f>Seismic!H5</f>
        <v>28.04878048780488</v>
      </c>
    </row>
    <row r="310" spans="2:9">
      <c r="B310" t="s">
        <v>83</v>
      </c>
      <c r="D310">
        <f>Seismic!H4</f>
        <v>12.449085365853659</v>
      </c>
    </row>
    <row r="311" spans="2:9">
      <c r="B311" t="s">
        <v>82</v>
      </c>
      <c r="D311">
        <f>Seismic!H3</f>
        <v>29.115853658536587</v>
      </c>
    </row>
    <row r="313" spans="2:9">
      <c r="H313" t="s">
        <v>4</v>
      </c>
      <c r="I313" s="9">
        <f>Seismic!E229</f>
        <v>1.0678038884850278</v>
      </c>
    </row>
    <row r="314" spans="2:9">
      <c r="H314" t="s">
        <v>4</v>
      </c>
      <c r="I314">
        <f>4.6*D302*D309/D308</f>
        <v>0.12145616745751418</v>
      </c>
    </row>
    <row r="315" spans="2:9">
      <c r="H315" t="s">
        <v>4</v>
      </c>
      <c r="I315">
        <f>4.6*D302*D310/D308</f>
        <v>5.390673571513778E-2</v>
      </c>
    </row>
    <row r="317" spans="2:9">
      <c r="H317" t="s">
        <v>4</v>
      </c>
      <c r="I317">
        <f>15.4*D302*D311/D308</f>
        <v>0.42208314149283105</v>
      </c>
    </row>
    <row r="318" spans="2:9">
      <c r="H318" t="s">
        <v>4</v>
      </c>
      <c r="I318">
        <v>0.05</v>
      </c>
    </row>
    <row r="342" spans="2:5">
      <c r="B342" s="7" t="s">
        <v>134</v>
      </c>
      <c r="C342" s="7"/>
      <c r="D342" s="7"/>
      <c r="E342" s="7"/>
    </row>
    <row r="365" spans="2:6">
      <c r="B365" t="s">
        <v>135</v>
      </c>
      <c r="F365" s="12">
        <f>0.85</f>
        <v>0.85</v>
      </c>
    </row>
    <row r="368" spans="2:6">
      <c r="B368" t="s">
        <v>162</v>
      </c>
      <c r="C368">
        <f>eccentricity!S22</f>
        <v>0</v>
      </c>
    </row>
    <row r="369" spans="2:3">
      <c r="B369" t="s">
        <v>163</v>
      </c>
      <c r="C369">
        <f>eccentricity!U22</f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opLeftCell="F1" workbookViewId="0">
      <selection activeCell="S4" sqref="S4"/>
    </sheetView>
  </sheetViews>
  <sheetFormatPr defaultColWidth="9" defaultRowHeight="15.75"/>
  <cols>
    <col min="1" max="1" width="12.85546875" style="43" customWidth="1"/>
    <col min="2" max="2" width="16.5703125" style="43" bestFit="1" customWidth="1"/>
    <col min="3" max="3" width="12.28515625" style="44" bestFit="1" customWidth="1"/>
    <col min="4" max="4" width="11.85546875" style="44" bestFit="1" customWidth="1"/>
    <col min="5" max="6" width="11.85546875" style="44" customWidth="1"/>
    <col min="7" max="7" width="16.85546875" style="44" bestFit="1" customWidth="1"/>
    <col min="8" max="8" width="17.42578125" style="44" bestFit="1" customWidth="1"/>
    <col min="9" max="9" width="10" style="45" bestFit="1" customWidth="1"/>
    <col min="10" max="10" width="9.85546875" style="45" bestFit="1" customWidth="1"/>
    <col min="11" max="11" width="10.5703125" style="45" customWidth="1"/>
    <col min="12" max="12" width="11.5703125" style="45" customWidth="1"/>
    <col min="13" max="13" width="11.5703125" style="46" customWidth="1"/>
    <col min="14" max="14" width="5.7109375" style="45" customWidth="1"/>
    <col min="15" max="16" width="7.85546875" style="45" customWidth="1"/>
    <col min="17" max="18" width="7.85546875" style="44" customWidth="1"/>
    <col min="19" max="20" width="10.7109375" style="47" customWidth="1"/>
    <col min="21" max="21" width="10.7109375" style="48" customWidth="1"/>
    <col min="22" max="22" width="11.42578125" bestFit="1" customWidth="1"/>
  </cols>
  <sheetData>
    <row r="1" spans="1:22" ht="50.1" customHeight="1" thickBot="1">
      <c r="A1" s="82" t="s">
        <v>136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4"/>
      <c r="M1" s="16"/>
      <c r="N1" s="17"/>
      <c r="O1" s="82" t="s">
        <v>137</v>
      </c>
      <c r="P1" s="83"/>
      <c r="Q1" s="83"/>
      <c r="R1" s="83"/>
      <c r="S1" s="83"/>
      <c r="T1" s="83"/>
      <c r="U1" s="83"/>
      <c r="V1" s="18"/>
    </row>
    <row r="2" spans="1:22" ht="33.950000000000003" customHeight="1">
      <c r="A2" s="85" t="s">
        <v>138</v>
      </c>
      <c r="B2" s="87" t="s">
        <v>139</v>
      </c>
      <c r="C2" s="89" t="s">
        <v>140</v>
      </c>
      <c r="D2" s="89" t="s">
        <v>141</v>
      </c>
      <c r="E2" s="91" t="s">
        <v>142</v>
      </c>
      <c r="F2" s="92"/>
      <c r="G2" s="89" t="s">
        <v>143</v>
      </c>
      <c r="H2" s="89" t="s">
        <v>144</v>
      </c>
      <c r="I2" s="93" t="s">
        <v>145</v>
      </c>
      <c r="J2" s="93" t="s">
        <v>146</v>
      </c>
      <c r="K2" s="91" t="s">
        <v>147</v>
      </c>
      <c r="L2" s="129"/>
      <c r="M2" s="19"/>
      <c r="N2" s="19"/>
      <c r="O2" s="95" t="s">
        <v>148</v>
      </c>
      <c r="P2" s="92"/>
      <c r="Q2" s="96" t="s">
        <v>149</v>
      </c>
      <c r="R2" s="97"/>
      <c r="S2" s="98" t="s">
        <v>150</v>
      </c>
      <c r="T2" s="99"/>
      <c r="U2" s="100" t="s">
        <v>151</v>
      </c>
      <c r="V2" s="101"/>
    </row>
    <row r="3" spans="1:22" ht="39" customHeight="1" thickBot="1">
      <c r="A3" s="86"/>
      <c r="B3" s="88"/>
      <c r="C3" s="90"/>
      <c r="D3" s="90"/>
      <c r="E3" s="20" t="s">
        <v>152</v>
      </c>
      <c r="F3" s="20" t="s">
        <v>153</v>
      </c>
      <c r="G3" s="90"/>
      <c r="H3" s="90"/>
      <c r="I3" s="94"/>
      <c r="J3" s="94"/>
      <c r="K3" s="20" t="s">
        <v>154</v>
      </c>
      <c r="L3" s="21" t="s">
        <v>155</v>
      </c>
      <c r="M3" s="22"/>
      <c r="N3" s="22"/>
      <c r="O3" s="23" t="s">
        <v>156</v>
      </c>
      <c r="P3" s="24" t="s">
        <v>157</v>
      </c>
      <c r="Q3" s="25" t="s">
        <v>406</v>
      </c>
      <c r="R3" s="25" t="s">
        <v>407</v>
      </c>
      <c r="S3" s="102" t="s">
        <v>63</v>
      </c>
      <c r="T3" s="103"/>
      <c r="U3" s="102" t="s">
        <v>63</v>
      </c>
      <c r="V3" s="104"/>
    </row>
    <row r="4" spans="1:22" ht="29.85" customHeight="1" thickTop="1">
      <c r="A4" s="26"/>
      <c r="B4" s="27"/>
      <c r="C4" s="28"/>
      <c r="D4" s="28"/>
      <c r="E4" s="28"/>
      <c r="F4" s="28"/>
      <c r="G4" s="28"/>
      <c r="H4" s="28"/>
      <c r="I4" s="29"/>
      <c r="J4" s="29"/>
      <c r="K4" s="29"/>
      <c r="L4" s="30"/>
      <c r="M4" s="31"/>
      <c r="N4" s="32"/>
      <c r="O4" s="33">
        <f>ABS(E4-K4)</f>
        <v>0</v>
      </c>
      <c r="P4" s="33">
        <f>ABS(F4-L4)</f>
        <v>0</v>
      </c>
      <c r="Q4" s="34">
        <v>15</v>
      </c>
      <c r="R4" s="34">
        <v>13</v>
      </c>
      <c r="S4" s="35">
        <f>O4/Q4*100</f>
        <v>0</v>
      </c>
      <c r="T4" s="36" t="str">
        <f>IF(S4&lt;=15,"Ok"," Not ok")</f>
        <v>Ok</v>
      </c>
      <c r="U4" s="35">
        <f t="shared" ref="U4" si="0">P4/R4*100</f>
        <v>0</v>
      </c>
      <c r="V4" s="36" t="str">
        <f>IF(U4&lt;=15," Ok","  Not Ok")</f>
        <v xml:space="preserve"> Ok</v>
      </c>
    </row>
    <row r="5" spans="1:22" ht="29.85" customHeight="1">
      <c r="A5" s="26"/>
      <c r="B5" s="37"/>
      <c r="C5" s="38"/>
      <c r="D5" s="38"/>
      <c r="E5" s="38"/>
      <c r="F5" s="38"/>
      <c r="G5" s="38"/>
      <c r="H5" s="38"/>
      <c r="I5" s="39"/>
      <c r="J5" s="39"/>
      <c r="K5" s="39"/>
      <c r="L5" s="40"/>
      <c r="M5" s="31"/>
      <c r="N5" s="32"/>
      <c r="O5" s="33"/>
      <c r="P5" s="33"/>
      <c r="Q5" s="34"/>
      <c r="R5" s="34"/>
      <c r="S5" s="35"/>
      <c r="T5" s="41"/>
      <c r="U5" s="42"/>
      <c r="V5" s="36"/>
    </row>
    <row r="6" spans="1:22" ht="29.85" customHeight="1">
      <c r="A6" s="26"/>
      <c r="B6" s="37"/>
      <c r="C6" s="38"/>
      <c r="D6" s="38"/>
      <c r="E6" s="38"/>
      <c r="F6" s="38"/>
      <c r="G6" s="38"/>
      <c r="H6" s="38"/>
      <c r="I6" s="39"/>
      <c r="J6" s="39"/>
      <c r="K6" s="39"/>
      <c r="L6" s="40"/>
      <c r="M6" s="31"/>
      <c r="N6" s="32"/>
      <c r="O6" s="33"/>
      <c r="P6" s="33"/>
      <c r="Q6" s="34"/>
      <c r="R6" s="34"/>
      <c r="S6" s="35"/>
      <c r="T6" s="41"/>
      <c r="U6" s="42"/>
      <c r="V6" s="36"/>
    </row>
    <row r="7" spans="1:22" ht="29.85" customHeight="1">
      <c r="A7" s="26"/>
      <c r="B7" s="37"/>
      <c r="C7" s="38"/>
      <c r="D7" s="38"/>
      <c r="E7" s="38"/>
      <c r="F7" s="38"/>
      <c r="G7" s="38"/>
      <c r="H7" s="38"/>
      <c r="I7" s="39"/>
      <c r="J7" s="39"/>
      <c r="K7" s="39"/>
      <c r="L7" s="40"/>
      <c r="M7" s="31"/>
      <c r="N7" s="32"/>
      <c r="O7" s="33"/>
      <c r="P7" s="33"/>
      <c r="Q7" s="34"/>
      <c r="R7" s="34"/>
      <c r="S7" s="35"/>
      <c r="T7" s="41"/>
      <c r="U7" s="42"/>
      <c r="V7" s="36"/>
    </row>
    <row r="8" spans="1:22" ht="29.85" customHeight="1">
      <c r="A8" s="26"/>
      <c r="B8" s="37"/>
      <c r="C8" s="38"/>
      <c r="D8" s="38"/>
      <c r="E8" s="38"/>
      <c r="F8" s="38"/>
      <c r="G8" s="38"/>
      <c r="H8" s="38"/>
      <c r="I8" s="39"/>
      <c r="J8" s="39"/>
      <c r="K8" s="39"/>
      <c r="L8" s="40"/>
      <c r="M8" s="31"/>
      <c r="N8" s="32"/>
      <c r="O8" s="33"/>
      <c r="P8" s="33"/>
      <c r="Q8" s="34"/>
      <c r="R8" s="34"/>
      <c r="S8" s="35"/>
      <c r="T8" s="41"/>
      <c r="U8" s="42"/>
      <c r="V8" s="36"/>
    </row>
    <row r="9" spans="1:22" ht="29.85" customHeight="1">
      <c r="A9" s="26"/>
      <c r="B9" s="37"/>
      <c r="C9" s="38"/>
      <c r="D9" s="38"/>
      <c r="E9" s="38"/>
      <c r="F9" s="38"/>
      <c r="G9" s="38"/>
      <c r="H9" s="38"/>
      <c r="I9" s="39"/>
      <c r="J9" s="39"/>
      <c r="K9" s="39"/>
      <c r="L9" s="40"/>
      <c r="M9" s="31"/>
      <c r="N9" s="32"/>
      <c r="O9" s="33"/>
      <c r="P9" s="33"/>
      <c r="Q9" s="34"/>
      <c r="R9" s="34"/>
      <c r="S9" s="35"/>
      <c r="T9" s="41"/>
      <c r="U9" s="42"/>
      <c r="V9" s="36"/>
    </row>
    <row r="10" spans="1:22" ht="29.85" customHeight="1">
      <c r="A10" s="26"/>
      <c r="B10" s="37"/>
      <c r="C10" s="38"/>
      <c r="D10" s="38"/>
      <c r="E10" s="38"/>
      <c r="F10" s="38"/>
      <c r="G10" s="38"/>
      <c r="H10" s="38"/>
      <c r="I10" s="39"/>
      <c r="J10" s="39"/>
      <c r="K10" s="39"/>
      <c r="L10" s="40"/>
      <c r="M10" s="31"/>
      <c r="N10" s="32"/>
      <c r="O10" s="33"/>
      <c r="P10" s="33"/>
      <c r="Q10" s="34"/>
      <c r="R10" s="34"/>
      <c r="S10" s="35"/>
      <c r="T10" s="41"/>
      <c r="U10" s="42"/>
      <c r="V10" s="36"/>
    </row>
    <row r="11" spans="1:22" ht="29.85" customHeight="1">
      <c r="A11" s="26"/>
      <c r="B11" s="37"/>
      <c r="C11" s="38"/>
      <c r="D11" s="38"/>
      <c r="E11" s="38"/>
      <c r="F11" s="38"/>
      <c r="G11" s="38"/>
      <c r="H11" s="38"/>
      <c r="I11" s="39"/>
      <c r="J11" s="39"/>
      <c r="K11" s="39"/>
      <c r="L11" s="40"/>
      <c r="M11" s="31"/>
      <c r="N11" s="32"/>
      <c r="O11" s="33"/>
      <c r="P11" s="33"/>
      <c r="Q11" s="34"/>
      <c r="R11" s="34"/>
      <c r="S11" s="35"/>
      <c r="T11" s="41"/>
      <c r="U11" s="42"/>
      <c r="V11" s="36"/>
    </row>
    <row r="12" spans="1:22" ht="29.85" customHeight="1">
      <c r="A12" s="26"/>
      <c r="B12" s="37"/>
      <c r="C12" s="38"/>
      <c r="D12" s="38"/>
      <c r="E12" s="38"/>
      <c r="F12" s="38"/>
      <c r="G12" s="38"/>
      <c r="H12" s="38"/>
      <c r="I12" s="39"/>
      <c r="J12" s="39"/>
      <c r="K12" s="39"/>
      <c r="L12" s="40"/>
      <c r="M12" s="31"/>
      <c r="N12" s="32"/>
      <c r="O12" s="33"/>
      <c r="P12" s="33"/>
      <c r="Q12" s="34"/>
      <c r="R12" s="34"/>
      <c r="S12" s="35"/>
      <c r="T12" s="41"/>
      <c r="U12" s="42"/>
      <c r="V12" s="36"/>
    </row>
    <row r="13" spans="1:22" ht="29.85" customHeight="1">
      <c r="A13" s="26"/>
      <c r="B13" s="37"/>
      <c r="C13" s="38"/>
      <c r="D13" s="38"/>
      <c r="E13" s="38"/>
      <c r="F13" s="38"/>
      <c r="G13" s="38"/>
      <c r="H13" s="38"/>
      <c r="I13" s="39"/>
      <c r="J13" s="39"/>
      <c r="K13" s="39"/>
      <c r="L13" s="40"/>
      <c r="M13" s="31"/>
      <c r="N13" s="32"/>
      <c r="O13" s="33"/>
      <c r="P13" s="33"/>
      <c r="Q13" s="34"/>
      <c r="R13" s="34"/>
      <c r="S13" s="35"/>
      <c r="T13" s="41"/>
      <c r="U13" s="42"/>
      <c r="V13" s="36"/>
    </row>
    <row r="14" spans="1:22" ht="29.85" customHeight="1">
      <c r="A14" s="26"/>
      <c r="B14" s="37"/>
      <c r="C14" s="38"/>
      <c r="D14" s="38"/>
      <c r="E14" s="38"/>
      <c r="F14" s="38"/>
      <c r="G14" s="38"/>
      <c r="H14" s="38"/>
      <c r="I14" s="39"/>
      <c r="J14" s="39"/>
      <c r="K14" s="39"/>
      <c r="L14" s="40"/>
      <c r="M14" s="31"/>
      <c r="N14" s="32"/>
      <c r="O14" s="33"/>
      <c r="P14" s="33"/>
      <c r="Q14" s="34"/>
      <c r="R14" s="34"/>
      <c r="S14" s="35"/>
      <c r="T14" s="41"/>
      <c r="U14" s="42"/>
      <c r="V14" s="36"/>
    </row>
    <row r="15" spans="1:22" ht="29.85" customHeight="1">
      <c r="A15" s="26"/>
      <c r="B15" s="37"/>
      <c r="C15" s="38"/>
      <c r="D15" s="38"/>
      <c r="E15" s="38"/>
      <c r="F15" s="38"/>
      <c r="G15" s="38"/>
      <c r="H15" s="38"/>
      <c r="I15" s="39"/>
      <c r="J15" s="39"/>
      <c r="K15" s="39"/>
      <c r="L15" s="40"/>
      <c r="M15" s="31"/>
      <c r="N15" s="32"/>
      <c r="O15" s="33"/>
      <c r="P15" s="33"/>
      <c r="Q15" s="34"/>
      <c r="R15" s="34"/>
      <c r="S15" s="35"/>
      <c r="T15" s="41"/>
      <c r="U15" s="42"/>
      <c r="V15" s="36"/>
    </row>
    <row r="16" spans="1:22" ht="29.85" customHeight="1">
      <c r="A16" s="26"/>
      <c r="B16" s="37"/>
      <c r="C16" s="38"/>
      <c r="D16" s="38"/>
      <c r="E16" s="38"/>
      <c r="F16" s="38"/>
      <c r="G16" s="38"/>
      <c r="H16" s="38"/>
      <c r="I16" s="39"/>
      <c r="J16" s="39"/>
      <c r="K16" s="39"/>
      <c r="L16" s="40"/>
      <c r="M16" s="31"/>
      <c r="N16" s="32"/>
      <c r="O16" s="33"/>
      <c r="P16" s="33"/>
      <c r="Q16" s="34"/>
      <c r="R16" s="34"/>
      <c r="S16" s="35"/>
      <c r="T16" s="41"/>
      <c r="U16" s="42"/>
      <c r="V16" s="36"/>
    </row>
    <row r="17" spans="1:22" ht="29.85" customHeight="1">
      <c r="A17" s="26"/>
      <c r="B17" s="37"/>
      <c r="C17" s="38"/>
      <c r="D17" s="38"/>
      <c r="E17" s="38"/>
      <c r="F17" s="38"/>
      <c r="G17" s="38"/>
      <c r="H17" s="38"/>
      <c r="I17" s="39"/>
      <c r="J17" s="39"/>
      <c r="K17" s="39"/>
      <c r="L17" s="40"/>
      <c r="M17" s="31"/>
      <c r="N17" s="32"/>
      <c r="O17" s="33"/>
      <c r="P17" s="33"/>
      <c r="Q17" s="34"/>
      <c r="R17" s="34"/>
      <c r="S17" s="35"/>
      <c r="T17" s="41"/>
      <c r="U17" s="42"/>
      <c r="V17" s="36"/>
    </row>
    <row r="18" spans="1:22" ht="29.85" customHeight="1">
      <c r="A18" s="26"/>
      <c r="B18" s="37"/>
      <c r="C18" s="38"/>
      <c r="D18" s="38"/>
      <c r="E18" s="38"/>
      <c r="F18" s="38"/>
      <c r="G18" s="38"/>
      <c r="H18" s="38"/>
      <c r="I18" s="39"/>
      <c r="J18" s="39"/>
      <c r="K18" s="39"/>
      <c r="L18" s="40"/>
      <c r="M18" s="31"/>
      <c r="N18" s="32"/>
      <c r="O18" s="33"/>
      <c r="P18" s="33"/>
      <c r="Q18" s="34"/>
      <c r="R18" s="34"/>
      <c r="S18" s="35"/>
      <c r="T18" s="41"/>
      <c r="U18" s="42"/>
      <c r="V18" s="36"/>
    </row>
    <row r="19" spans="1:22" ht="29.85" customHeight="1">
      <c r="A19" s="26"/>
      <c r="B19" s="37"/>
      <c r="C19" s="38"/>
      <c r="D19" s="38"/>
      <c r="E19" s="38"/>
      <c r="F19" s="38"/>
      <c r="G19" s="38"/>
      <c r="H19" s="38"/>
      <c r="I19" s="39"/>
      <c r="J19" s="39"/>
      <c r="K19" s="39"/>
      <c r="L19" s="40"/>
      <c r="M19" s="31"/>
      <c r="N19" s="32"/>
      <c r="O19" s="33"/>
      <c r="P19" s="33"/>
      <c r="Q19" s="34"/>
      <c r="R19" s="34"/>
      <c r="S19" s="35"/>
      <c r="T19" s="41"/>
      <c r="U19" s="42"/>
      <c r="V19" s="36"/>
    </row>
    <row r="20" spans="1:22" ht="29.85" customHeight="1">
      <c r="A20" s="26"/>
      <c r="B20" s="37"/>
      <c r="C20" s="38"/>
      <c r="D20" s="38"/>
      <c r="E20" s="38"/>
      <c r="F20" s="38"/>
      <c r="G20" s="38"/>
      <c r="H20" s="38"/>
      <c r="I20" s="39"/>
      <c r="J20" s="39"/>
      <c r="K20" s="39"/>
      <c r="L20" s="40"/>
      <c r="M20" s="31"/>
      <c r="N20" s="32"/>
      <c r="O20" s="33"/>
      <c r="P20" s="33"/>
      <c r="Q20" s="34"/>
      <c r="R20" s="34"/>
      <c r="S20" s="35"/>
      <c r="T20" s="41"/>
      <c r="U20" s="42"/>
      <c r="V20" s="36"/>
    </row>
    <row r="21" spans="1:22" ht="29.85" customHeight="1">
      <c r="A21" s="26"/>
      <c r="B21" s="37"/>
      <c r="C21" s="38"/>
      <c r="D21" s="38"/>
      <c r="E21" s="38"/>
      <c r="F21" s="38"/>
      <c r="G21" s="38"/>
      <c r="H21" s="38"/>
      <c r="I21" s="39"/>
      <c r="J21" s="39"/>
      <c r="K21" s="39"/>
      <c r="L21" s="40"/>
      <c r="M21" s="31"/>
      <c r="N21" s="32"/>
      <c r="O21" s="33"/>
      <c r="P21" s="33"/>
      <c r="Q21" s="34"/>
      <c r="R21" s="34"/>
      <c r="S21" s="35"/>
      <c r="T21" s="41"/>
      <c r="U21" s="42"/>
      <c r="V21" s="36"/>
    </row>
    <row r="22" spans="1:22" ht="29.85" customHeight="1">
      <c r="A22" s="26"/>
      <c r="B22" s="37"/>
      <c r="C22" s="38"/>
      <c r="D22" s="38"/>
      <c r="E22" s="38"/>
      <c r="F22" s="38"/>
      <c r="G22" s="38"/>
      <c r="H22" s="38"/>
      <c r="I22" s="39"/>
      <c r="J22" s="39"/>
      <c r="K22" s="39"/>
      <c r="L22" s="40"/>
      <c r="M22" s="31"/>
      <c r="N22" s="32"/>
      <c r="O22" s="33"/>
      <c r="P22" s="33"/>
      <c r="Q22" s="34"/>
      <c r="R22" s="34"/>
      <c r="S22" s="35">
        <f>MAX(S4:S21)</f>
        <v>0</v>
      </c>
      <c r="T22" s="41"/>
      <c r="U22" s="35">
        <f>MAX(U4:U21)</f>
        <v>0</v>
      </c>
      <c r="V22" s="36"/>
    </row>
    <row r="26" spans="1:22">
      <c r="A26"/>
    </row>
    <row r="28" spans="1:22">
      <c r="P28" s="45" t="s">
        <v>158</v>
      </c>
    </row>
    <row r="41" spans="1:1">
      <c r="A41"/>
    </row>
    <row r="58" spans="2:6" ht="16.5" thickBot="1"/>
    <row r="59" spans="2:6" ht="15.75" customHeight="1">
      <c r="B59" s="105" t="s">
        <v>159</v>
      </c>
      <c r="C59" s="106"/>
      <c r="D59" s="106"/>
      <c r="E59" s="106"/>
      <c r="F59" s="107"/>
    </row>
    <row r="60" spans="2:6" ht="16.5" customHeight="1" thickBot="1">
      <c r="B60" s="108"/>
      <c r="C60" s="109"/>
      <c r="D60" s="109"/>
      <c r="E60" s="109"/>
      <c r="F60" s="110"/>
    </row>
    <row r="61" spans="2:6" ht="15.75" customHeight="1">
      <c r="B61" s="111" t="s">
        <v>160</v>
      </c>
      <c r="C61" s="112"/>
      <c r="D61" s="113"/>
    </row>
    <row r="62" spans="2:6" ht="16.5" customHeight="1">
      <c r="B62" s="114"/>
      <c r="C62" s="115"/>
      <c r="D62" s="116"/>
    </row>
    <row r="63" spans="2:6" ht="16.5" customHeight="1" thickBot="1">
      <c r="B63" s="117"/>
      <c r="C63" s="118"/>
      <c r="D63" s="119"/>
    </row>
    <row r="64" spans="2:6" ht="16.5" thickBot="1"/>
    <row r="65" spans="2:11" ht="15.75" customHeight="1">
      <c r="D65" s="120" t="s">
        <v>161</v>
      </c>
      <c r="E65" s="121"/>
      <c r="F65" s="121"/>
      <c r="G65" s="121"/>
      <c r="H65" s="121"/>
      <c r="I65" s="121"/>
      <c r="J65" s="121"/>
      <c r="K65" s="122"/>
    </row>
    <row r="66" spans="2:11" ht="15.75" customHeight="1">
      <c r="D66" s="123"/>
      <c r="E66" s="124"/>
      <c r="F66" s="124"/>
      <c r="G66" s="124"/>
      <c r="H66" s="124"/>
      <c r="I66" s="124"/>
      <c r="J66" s="124"/>
      <c r="K66" s="125"/>
    </row>
    <row r="67" spans="2:11" ht="15.75" customHeight="1">
      <c r="D67" s="123"/>
      <c r="E67" s="124"/>
      <c r="F67" s="124"/>
      <c r="G67" s="124"/>
      <c r="H67" s="124"/>
      <c r="I67" s="124"/>
      <c r="J67" s="124"/>
      <c r="K67" s="125"/>
    </row>
    <row r="68" spans="2:11" ht="15.75" customHeight="1">
      <c r="D68" s="123"/>
      <c r="E68" s="124"/>
      <c r="F68" s="124"/>
      <c r="G68" s="124"/>
      <c r="H68" s="124"/>
      <c r="I68" s="124"/>
      <c r="J68" s="124"/>
      <c r="K68" s="125"/>
    </row>
    <row r="69" spans="2:11" ht="16.5" customHeight="1" thickBot="1">
      <c r="D69" s="126"/>
      <c r="E69" s="127"/>
      <c r="F69" s="127"/>
      <c r="G69" s="127"/>
      <c r="H69" s="127"/>
      <c r="I69" s="127"/>
      <c r="J69" s="127"/>
      <c r="K69" s="128"/>
    </row>
    <row r="73" spans="2:11">
      <c r="B73"/>
    </row>
    <row r="84" spans="6:6">
      <c r="F84"/>
    </row>
  </sheetData>
  <mergeCells count="21">
    <mergeCell ref="B59:F60"/>
    <mergeCell ref="B61:D63"/>
    <mergeCell ref="D65:K69"/>
    <mergeCell ref="J2:J3"/>
    <mergeCell ref="K2:L2"/>
    <mergeCell ref="A1:L1"/>
    <mergeCell ref="O1:U1"/>
    <mergeCell ref="A2:A3"/>
    <mergeCell ref="B2:B3"/>
    <mergeCell ref="C2:C3"/>
    <mergeCell ref="D2:D3"/>
    <mergeCell ref="E2:F2"/>
    <mergeCell ref="G2:G3"/>
    <mergeCell ref="H2:H3"/>
    <mergeCell ref="I2:I3"/>
    <mergeCell ref="O2:P2"/>
    <mergeCell ref="Q2:R2"/>
    <mergeCell ref="S2:T2"/>
    <mergeCell ref="U2:V2"/>
    <mergeCell ref="S3:T3"/>
    <mergeCell ref="U3:V3"/>
  </mergeCells>
  <conditionalFormatting sqref="T4:T22">
    <cfRule type="containsText" dxfId="4" priority="5" operator="containsText" text="Not Ok">
      <formula>NOT(ISERROR(SEARCH("Not Ok",T4)))</formula>
    </cfRule>
  </conditionalFormatting>
  <conditionalFormatting sqref="V4:V22">
    <cfRule type="containsText" dxfId="3" priority="4" operator="containsText" text="Not Ok">
      <formula>NOT(ISERROR(SEARCH("Not Ok",V4)))</formula>
    </cfRule>
  </conditionalFormatting>
  <conditionalFormatting sqref="S4:S22">
    <cfRule type="cellIs" dxfId="2" priority="3" operator="greaterThan">
      <formula>15</formula>
    </cfRule>
  </conditionalFormatting>
  <conditionalFormatting sqref="U4">
    <cfRule type="cellIs" dxfId="1" priority="2" operator="greaterThan">
      <formula>15</formula>
    </cfRule>
  </conditionalFormatting>
  <conditionalFormatting sqref="U22">
    <cfRule type="cellIs" dxfId="0" priority="1" operator="greaterThan">
      <formula>15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9"/>
  <sheetViews>
    <sheetView tabSelected="1" workbookViewId="0">
      <selection activeCell="F6" sqref="F6"/>
    </sheetView>
  </sheetViews>
  <sheetFormatPr defaultRowHeight="15"/>
  <cols>
    <col min="2" max="2" width="13.5703125" customWidth="1"/>
    <col min="6" max="6" width="10.42578125" customWidth="1"/>
  </cols>
  <sheetData>
    <row r="1" spans="1:8">
      <c r="A1" t="s">
        <v>477</v>
      </c>
    </row>
    <row r="3" spans="1:8">
      <c r="A3" s="54" t="s">
        <v>408</v>
      </c>
      <c r="B3" s="55"/>
      <c r="C3" s="55"/>
      <c r="D3" s="55"/>
    </row>
    <row r="4" spans="1:8">
      <c r="A4" s="56"/>
      <c r="B4" s="57" t="s">
        <v>409</v>
      </c>
      <c r="C4" s="58">
        <v>20</v>
      </c>
      <c r="D4" s="59" t="s">
        <v>410</v>
      </c>
      <c r="F4" t="s">
        <v>411</v>
      </c>
    </row>
    <row r="5" spans="1:8">
      <c r="A5" s="60" t="s">
        <v>465</v>
      </c>
      <c r="C5" s="61">
        <v>20</v>
      </c>
      <c r="D5" s="59" t="s">
        <v>410</v>
      </c>
    </row>
    <row r="6" spans="1:8">
      <c r="A6" s="62" t="s">
        <v>466</v>
      </c>
      <c r="C6" s="61">
        <v>0.12</v>
      </c>
      <c r="D6" s="59" t="s">
        <v>412</v>
      </c>
    </row>
    <row r="7" spans="1:8">
      <c r="A7" s="63" t="s">
        <v>467</v>
      </c>
      <c r="C7" s="64">
        <v>0.13500000000000001</v>
      </c>
      <c r="D7" s="59" t="s">
        <v>412</v>
      </c>
    </row>
    <row r="8" spans="1:8">
      <c r="A8" s="62" t="s">
        <v>468</v>
      </c>
      <c r="C8" s="65">
        <v>30</v>
      </c>
      <c r="D8" s="59" t="s">
        <v>413</v>
      </c>
    </row>
    <row r="9" spans="1:8">
      <c r="A9" s="62" t="s">
        <v>469</v>
      </c>
      <c r="C9" s="65">
        <v>30</v>
      </c>
      <c r="D9" s="59" t="s">
        <v>413</v>
      </c>
    </row>
    <row r="10" spans="1:8">
      <c r="A10" s="66" t="s">
        <v>414</v>
      </c>
      <c r="C10" s="61" t="s">
        <v>415</v>
      </c>
      <c r="D10" s="59"/>
    </row>
    <row r="11" spans="1:8">
      <c r="A11" s="62" t="s">
        <v>416</v>
      </c>
      <c r="C11" s="67">
        <v>0</v>
      </c>
      <c r="D11" s="68" t="s">
        <v>417</v>
      </c>
    </row>
    <row r="14" spans="1:8">
      <c r="A14" t="s">
        <v>418</v>
      </c>
      <c r="G14" s="69">
        <v>10</v>
      </c>
      <c r="H14" s="70" t="s">
        <v>419</v>
      </c>
    </row>
    <row r="15" spans="1:8">
      <c r="A15" s="70" t="s">
        <v>420</v>
      </c>
      <c r="G15" s="69">
        <v>18</v>
      </c>
      <c r="H15" s="70" t="s">
        <v>419</v>
      </c>
    </row>
    <row r="16" spans="1:8">
      <c r="A16" s="62" t="s">
        <v>421</v>
      </c>
      <c r="G16" s="69">
        <v>12</v>
      </c>
      <c r="H16" s="70" t="s">
        <v>419</v>
      </c>
    </row>
    <row r="17" spans="1:8">
      <c r="A17" t="s">
        <v>422</v>
      </c>
      <c r="G17" s="69">
        <v>2.13</v>
      </c>
      <c r="H17" s="70" t="s">
        <v>5</v>
      </c>
    </row>
    <row r="18" spans="1:8">
      <c r="A18" t="s">
        <v>423</v>
      </c>
      <c r="G18" s="69">
        <v>2.13</v>
      </c>
      <c r="H18" s="70" t="s">
        <v>5</v>
      </c>
    </row>
    <row r="19" spans="1:8">
      <c r="A19" t="s">
        <v>471</v>
      </c>
      <c r="G19" s="69">
        <v>3</v>
      </c>
      <c r="H19" s="70" t="s">
        <v>5</v>
      </c>
    </row>
    <row r="20" spans="1:8">
      <c r="A20" t="s">
        <v>472</v>
      </c>
      <c r="G20" s="69">
        <v>4</v>
      </c>
      <c r="H20" s="70" t="s">
        <v>5</v>
      </c>
    </row>
    <row r="21" spans="1:8">
      <c r="A21" s="70" t="s">
        <v>424</v>
      </c>
      <c r="G21" s="69">
        <v>20</v>
      </c>
      <c r="H21" s="70" t="s">
        <v>425</v>
      </c>
    </row>
    <row r="22" spans="1:8">
      <c r="A22" s="70" t="s">
        <v>426</v>
      </c>
      <c r="G22">
        <f>SIN(RADIANS(G21))</f>
        <v>0.34202014332566871</v>
      </c>
    </row>
    <row r="23" spans="1:8">
      <c r="A23" s="70" t="s">
        <v>427</v>
      </c>
      <c r="G23">
        <f>(1-G22)/(1+G22)</f>
        <v>0.49029059656570229</v>
      </c>
    </row>
    <row r="24" spans="1:8">
      <c r="A24" s="70" t="s">
        <v>428</v>
      </c>
      <c r="G24">
        <f>1-G22</f>
        <v>0.65797985667433134</v>
      </c>
    </row>
    <row r="25" spans="1:8">
      <c r="A25" s="70" t="s">
        <v>429</v>
      </c>
      <c r="G25">
        <f>G14*G17</f>
        <v>21.299999999999997</v>
      </c>
      <c r="H25" s="70" t="s">
        <v>180</v>
      </c>
    </row>
    <row r="26" spans="1:8">
      <c r="A26" s="70" t="s">
        <v>430</v>
      </c>
      <c r="G26">
        <f>G23*G15*G18</f>
        <v>18.797741472329026</v>
      </c>
      <c r="H26" s="70" t="s">
        <v>180</v>
      </c>
    </row>
    <row r="27" spans="1:8">
      <c r="A27" s="70" t="s">
        <v>431</v>
      </c>
      <c r="G27">
        <f>G16*G24</f>
        <v>7.8957582800919761</v>
      </c>
      <c r="H27" s="70" t="s">
        <v>180</v>
      </c>
    </row>
    <row r="28" spans="1:8">
      <c r="A28" s="70" t="s">
        <v>432</v>
      </c>
      <c r="G28">
        <f>SUM(G26:G27)</f>
        <v>26.693499752421001</v>
      </c>
      <c r="H28" s="70" t="s">
        <v>180</v>
      </c>
    </row>
    <row r="30" spans="1:8">
      <c r="A30" s="70" t="s">
        <v>433</v>
      </c>
    </row>
    <row r="31" spans="1:8">
      <c r="A31" s="70" t="s">
        <v>434</v>
      </c>
    </row>
    <row r="32" spans="1:8">
      <c r="A32" s="70" t="s">
        <v>435</v>
      </c>
      <c r="B32">
        <v>0</v>
      </c>
    </row>
    <row r="33" spans="1:8">
      <c r="A33" s="70" t="s">
        <v>436</v>
      </c>
      <c r="B33">
        <v>0</v>
      </c>
    </row>
    <row r="34" spans="1:8">
      <c r="A34" s="70" t="s">
        <v>437</v>
      </c>
      <c r="B34" s="70" t="s">
        <v>438</v>
      </c>
    </row>
    <row r="35" spans="1:8">
      <c r="A35" s="70"/>
      <c r="B35" s="70"/>
    </row>
    <row r="36" spans="1:8">
      <c r="A36" s="70" t="s">
        <v>439</v>
      </c>
    </row>
    <row r="37" spans="1:8">
      <c r="A37" s="70" t="s">
        <v>440</v>
      </c>
      <c r="F37" s="70" t="s">
        <v>441</v>
      </c>
      <c r="G37">
        <v>1</v>
      </c>
    </row>
    <row r="38" spans="1:8">
      <c r="A38" s="70" t="s">
        <v>442</v>
      </c>
      <c r="B38">
        <v>0</v>
      </c>
      <c r="F38" s="70" t="s">
        <v>443</v>
      </c>
      <c r="G38">
        <f>G25</f>
        <v>21.299999999999997</v>
      </c>
      <c r="H38" s="70" t="s">
        <v>444</v>
      </c>
    </row>
    <row r="39" spans="1:8">
      <c r="A39" s="71" t="s">
        <v>445</v>
      </c>
      <c r="B39" s="72"/>
      <c r="C39" s="72"/>
      <c r="D39" s="72"/>
      <c r="E39" s="72"/>
      <c r="F39" s="72"/>
      <c r="G39" s="72">
        <f>G38-G37*B38</f>
        <v>21.299999999999997</v>
      </c>
      <c r="H39" s="71" t="s">
        <v>444</v>
      </c>
    </row>
    <row r="42" spans="1:8">
      <c r="A42" s="70" t="s">
        <v>442</v>
      </c>
      <c r="B42">
        <f>G17</f>
        <v>2.13</v>
      </c>
      <c r="F42" s="70" t="s">
        <v>443</v>
      </c>
      <c r="G42">
        <v>0</v>
      </c>
      <c r="H42" s="70" t="s">
        <v>444</v>
      </c>
    </row>
    <row r="43" spans="1:8">
      <c r="A43" s="71" t="s">
        <v>441</v>
      </c>
      <c r="B43" s="72"/>
      <c r="C43" s="72"/>
      <c r="D43" s="72"/>
      <c r="E43" s="72"/>
      <c r="F43" s="72"/>
      <c r="G43" s="72">
        <f>(G42-G39)/B42</f>
        <v>-10</v>
      </c>
      <c r="H43" s="71" t="s">
        <v>444</v>
      </c>
    </row>
    <row r="47" spans="1:8">
      <c r="A47" s="70" t="s">
        <v>446</v>
      </c>
      <c r="F47" s="70" t="s">
        <v>441</v>
      </c>
      <c r="G47">
        <v>1</v>
      </c>
    </row>
    <row r="48" spans="1:8">
      <c r="A48" s="70" t="s">
        <v>442</v>
      </c>
      <c r="B48">
        <v>0</v>
      </c>
      <c r="F48" s="70" t="s">
        <v>443</v>
      </c>
      <c r="G48">
        <v>24</v>
      </c>
      <c r="H48" s="70" t="s">
        <v>444</v>
      </c>
    </row>
    <row r="49" spans="1:10">
      <c r="A49" s="71" t="s">
        <v>445</v>
      </c>
      <c r="B49" s="72"/>
      <c r="C49" s="72"/>
      <c r="D49" s="72"/>
      <c r="E49" s="72"/>
      <c r="F49" s="72"/>
      <c r="G49" s="72">
        <f>G48-G47*B48</f>
        <v>24</v>
      </c>
      <c r="H49" s="71" t="s">
        <v>444</v>
      </c>
    </row>
    <row r="52" spans="1:10">
      <c r="A52" s="70" t="s">
        <v>442</v>
      </c>
      <c r="B52">
        <f>G17</f>
        <v>2.13</v>
      </c>
      <c r="F52" s="70" t="s">
        <v>443</v>
      </c>
      <c r="G52">
        <f>G27</f>
        <v>7.8957582800919761</v>
      </c>
      <c r="H52" s="70" t="s">
        <v>444</v>
      </c>
    </row>
    <row r="53" spans="1:10">
      <c r="A53" s="71" t="s">
        <v>441</v>
      </c>
      <c r="B53" s="72"/>
      <c r="C53" s="72"/>
      <c r="D53" s="72"/>
      <c r="E53" s="72"/>
      <c r="F53" s="72"/>
      <c r="G53" s="72">
        <f>(G52-G49)/B52</f>
        <v>-7.5606768638065844</v>
      </c>
      <c r="H53" s="71" t="s">
        <v>444</v>
      </c>
    </row>
    <row r="55" spans="1:10">
      <c r="A55" s="72" t="s">
        <v>473</v>
      </c>
      <c r="B55" s="72"/>
      <c r="C55" s="72"/>
      <c r="D55" s="72"/>
      <c r="E55" s="72"/>
      <c r="F55" s="72"/>
      <c r="G55" s="72">
        <f>G17*G14*20.8854</f>
        <v>444.85901999999993</v>
      </c>
      <c r="H55" s="72" t="s">
        <v>474</v>
      </c>
    </row>
    <row r="57" spans="1:10">
      <c r="A57" s="130" t="s">
        <v>470</v>
      </c>
      <c r="B57" s="131"/>
      <c r="C57" s="131"/>
      <c r="D57" s="132"/>
      <c r="E57" s="73"/>
      <c r="F57" s="73"/>
      <c r="G57" s="73"/>
      <c r="H57" s="74"/>
      <c r="I57" s="73"/>
      <c r="J57" s="73"/>
    </row>
    <row r="58" spans="1:10">
      <c r="A58" s="75" t="s">
        <v>447</v>
      </c>
      <c r="B58" s="4"/>
      <c r="C58" s="4" t="s">
        <v>448</v>
      </c>
      <c r="D58" s="4">
        <v>-1</v>
      </c>
      <c r="E58" s="73"/>
      <c r="F58" s="73"/>
      <c r="G58" s="73"/>
      <c r="H58" s="74"/>
      <c r="I58" s="73"/>
      <c r="J58" s="73"/>
    </row>
    <row r="59" spans="1:10">
      <c r="A59" s="75" t="s">
        <v>449</v>
      </c>
      <c r="B59" s="4"/>
      <c r="C59" s="4" t="s">
        <v>450</v>
      </c>
      <c r="D59" s="4">
        <v>1</v>
      </c>
      <c r="E59" s="73"/>
      <c r="F59" s="73"/>
      <c r="G59" s="73"/>
      <c r="H59" s="74"/>
      <c r="I59" s="73"/>
      <c r="J59" s="73"/>
    </row>
    <row r="60" spans="1:10">
      <c r="A60" s="75" t="s">
        <v>451</v>
      </c>
      <c r="B60" s="4"/>
      <c r="C60" s="4" t="s">
        <v>332</v>
      </c>
      <c r="D60" s="4"/>
      <c r="E60" s="73"/>
      <c r="F60" s="73"/>
      <c r="G60" s="76"/>
      <c r="H60" s="74"/>
      <c r="I60" s="73"/>
      <c r="J60" s="73"/>
    </row>
    <row r="61" spans="1:10">
      <c r="A61" s="130" t="s">
        <v>452</v>
      </c>
      <c r="B61" s="131"/>
      <c r="C61" s="131"/>
      <c r="D61" s="132"/>
      <c r="E61" s="73"/>
      <c r="F61" s="73"/>
      <c r="G61" s="73"/>
      <c r="H61" s="74"/>
      <c r="I61" s="73"/>
      <c r="J61" s="73"/>
    </row>
    <row r="62" spans="1:10">
      <c r="A62" s="75" t="s">
        <v>453</v>
      </c>
      <c r="B62" s="4"/>
      <c r="C62" s="77" t="s">
        <v>454</v>
      </c>
      <c r="D62" s="4"/>
      <c r="E62" s="73"/>
      <c r="F62" s="73"/>
      <c r="G62" s="73"/>
      <c r="H62" s="74"/>
      <c r="I62" s="73"/>
      <c r="J62" s="73"/>
    </row>
    <row r="63" spans="1:10">
      <c r="A63" s="78" t="s">
        <v>455</v>
      </c>
      <c r="B63" s="4"/>
      <c r="C63" s="77" t="s">
        <v>456</v>
      </c>
      <c r="D63" s="4"/>
      <c r="E63" s="73"/>
      <c r="F63" s="73"/>
      <c r="G63" s="73"/>
      <c r="H63" s="73"/>
      <c r="I63" s="73"/>
      <c r="J63" s="73"/>
    </row>
    <row r="64" spans="1:10">
      <c r="A64" s="78" t="s">
        <v>457</v>
      </c>
      <c r="B64" s="4"/>
      <c r="C64" s="77" t="s">
        <v>458</v>
      </c>
      <c r="D64" s="4"/>
      <c r="E64" s="73"/>
      <c r="F64" s="73"/>
      <c r="G64" s="73"/>
      <c r="H64" s="73"/>
      <c r="I64" s="73"/>
      <c r="J64" s="73"/>
    </row>
    <row r="65" spans="1:10">
      <c r="A65" s="78" t="s">
        <v>459</v>
      </c>
      <c r="B65" s="4"/>
      <c r="C65" s="77" t="s">
        <v>460</v>
      </c>
      <c r="D65" s="4"/>
      <c r="E65" s="73"/>
      <c r="F65" s="73"/>
      <c r="G65" s="73"/>
      <c r="H65" s="73"/>
      <c r="I65" s="73"/>
      <c r="J65" s="73"/>
    </row>
    <row r="66" spans="1:10">
      <c r="A66" s="78" t="s">
        <v>461</v>
      </c>
      <c r="B66" s="4"/>
      <c r="C66" s="77" t="s">
        <v>462</v>
      </c>
      <c r="D66" s="4"/>
      <c r="E66" s="73"/>
      <c r="F66" s="73"/>
      <c r="G66" s="73"/>
      <c r="H66" s="73"/>
      <c r="I66" s="73"/>
      <c r="J66" s="73"/>
    </row>
    <row r="67" spans="1:10">
      <c r="A67" s="4"/>
      <c r="B67" s="4"/>
      <c r="C67" s="4"/>
      <c r="D67" s="4"/>
      <c r="E67" s="73"/>
      <c r="F67" s="73"/>
      <c r="G67" s="73"/>
      <c r="H67" s="73"/>
      <c r="I67" s="73"/>
      <c r="J67" s="73"/>
    </row>
    <row r="68" spans="1:10">
      <c r="A68" s="133" t="s">
        <v>463</v>
      </c>
      <c r="B68" s="134"/>
      <c r="C68" s="134"/>
      <c r="D68" s="135"/>
      <c r="E68" s="73"/>
      <c r="F68" s="73"/>
      <c r="G68" s="73"/>
      <c r="H68" s="73"/>
      <c r="I68" s="73"/>
      <c r="J68" s="73"/>
    </row>
    <row r="69" spans="1:10">
      <c r="A69" s="79" t="s">
        <v>475</v>
      </c>
      <c r="B69" s="80"/>
      <c r="C69" s="72"/>
      <c r="D69" s="80"/>
      <c r="E69" s="80" t="s">
        <v>464</v>
      </c>
      <c r="F69" s="72"/>
    </row>
  </sheetData>
  <mergeCells count="3">
    <mergeCell ref="A57:D57"/>
    <mergeCell ref="A61:D61"/>
    <mergeCell ref="A68:D68"/>
  </mergeCells>
  <dataValidations count="8">
    <dataValidation type="list" allowBlank="1" showInputMessage="1" showErrorMessage="1" prompt="If wall is flexible and deflects and/or rotates enough to mobilize active soil pressure, then &quot;Active&quot; should be selected. Otherwise, if wall is very rigid or restrained near top, preventing movement, then &quot;At-Rest&quot; soil condition should be selected." sqref="C10">
      <formula1>$K$5:$K$6</formula1>
    </dataValidation>
    <dataValidation allowBlank="1" showInputMessage="1" showErrorMessage="1" prompt="See table at right for representative values of Dry Unit Weight for various soils." sqref="C6"/>
    <dataValidation allowBlank="1" showInputMessage="1" showErrorMessage="1" prompt="See table at right for representative values of Saturated Weight for various soils." sqref="C7"/>
    <dataValidation allowBlank="1" showInputMessage="1" showErrorMessage="1" prompt="Soil Friction Angle above water table._x000a_See table at right for representative values of Internal Friction Angle of for various soils." sqref="C8"/>
    <dataValidation type="decimal" allowBlank="1" showInputMessage="1" showErrorMessage="1" error="0 &lt;= H1 &lt;= H" prompt="GWT = Ground Water Table" sqref="C5">
      <formula1>0</formula1>
      <formula2>$C$8</formula2>
    </dataValidation>
    <dataValidation type="decimal" operator="greaterThan" allowBlank="1" showInputMessage="1" showErrorMessage="1" sqref="C4">
      <formula1>0</formula1>
    </dataValidation>
    <dataValidation allowBlank="1" showInputMessage="1" showErrorMessage="1" prompt="Q = uniformly distributed surcharge load at top of wall." sqref="C11"/>
    <dataValidation allowBlank="1" showInputMessage="1" showErrorMessage="1" prompt="Soil Friction Angle below water table._x000a_See table at right for representative values of Internal Friction Angle of for various soils." sqref="C9"/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7"/>
  <sheetViews>
    <sheetView workbookViewId="0">
      <selection activeCell="F16" sqref="F16"/>
    </sheetView>
  </sheetViews>
  <sheetFormatPr defaultRowHeight="15"/>
  <sheetData>
    <row r="2" spans="2:11">
      <c r="B2" s="13" t="s">
        <v>164</v>
      </c>
    </row>
    <row r="3" spans="2:11">
      <c r="B3" s="13" t="s">
        <v>165</v>
      </c>
      <c r="K3" s="13" t="s">
        <v>172</v>
      </c>
    </row>
    <row r="4" spans="2:11">
      <c r="B4" s="13" t="s">
        <v>166</v>
      </c>
      <c r="K4" s="13" t="s">
        <v>173</v>
      </c>
    </row>
    <row r="5" spans="2:11">
      <c r="B5" s="13" t="s">
        <v>167</v>
      </c>
      <c r="K5" s="13" t="s">
        <v>174</v>
      </c>
    </row>
    <row r="6" spans="2:11">
      <c r="B6" s="13" t="s">
        <v>168</v>
      </c>
      <c r="K6" s="13" t="s">
        <v>175</v>
      </c>
    </row>
    <row r="7" spans="2:11">
      <c r="B7" s="13" t="s">
        <v>169</v>
      </c>
      <c r="K7" s="13" t="s">
        <v>176</v>
      </c>
    </row>
    <row r="8" spans="2:11">
      <c r="B8" s="13" t="s">
        <v>170</v>
      </c>
      <c r="K8" s="13" t="s">
        <v>177</v>
      </c>
    </row>
    <row r="9" spans="2:11">
      <c r="B9" s="13" t="s">
        <v>171</v>
      </c>
      <c r="K9" s="13" t="s">
        <v>178</v>
      </c>
    </row>
    <row r="10" spans="2:11">
      <c r="K10" s="13" t="s">
        <v>179</v>
      </c>
    </row>
    <row r="11" spans="2:11">
      <c r="B11" s="13" t="s">
        <v>246</v>
      </c>
      <c r="K11" s="13" t="s">
        <v>180</v>
      </c>
    </row>
    <row r="12" spans="2:11">
      <c r="B12" s="50" t="s">
        <v>247</v>
      </c>
      <c r="K12" s="13" t="s">
        <v>181</v>
      </c>
    </row>
    <row r="13" spans="2:11">
      <c r="B13" s="50" t="s">
        <v>248</v>
      </c>
      <c r="K13" s="13" t="s">
        <v>182</v>
      </c>
    </row>
    <row r="14" spans="2:11">
      <c r="B14" s="50" t="s">
        <v>249</v>
      </c>
      <c r="K14" s="13" t="s">
        <v>183</v>
      </c>
    </row>
    <row r="15" spans="2:11">
      <c r="B15" s="50" t="s">
        <v>250</v>
      </c>
      <c r="K15" s="13" t="s">
        <v>184</v>
      </c>
    </row>
    <row r="16" spans="2:11">
      <c r="B16" s="50" t="s">
        <v>251</v>
      </c>
      <c r="K16" s="13" t="s">
        <v>185</v>
      </c>
    </row>
    <row r="17" spans="2:11">
      <c r="B17" s="50" t="s">
        <v>252</v>
      </c>
      <c r="K17" s="13" t="s">
        <v>186</v>
      </c>
    </row>
    <row r="18" spans="2:11">
      <c r="B18" s="50" t="s">
        <v>253</v>
      </c>
      <c r="K18" s="13" t="s">
        <v>187</v>
      </c>
    </row>
    <row r="19" spans="2:11">
      <c r="B19" s="50" t="s">
        <v>254</v>
      </c>
      <c r="K19" s="13" t="s">
        <v>188</v>
      </c>
    </row>
    <row r="20" spans="2:11">
      <c r="B20" s="13" t="s">
        <v>255</v>
      </c>
      <c r="K20" s="13" t="s">
        <v>189</v>
      </c>
    </row>
    <row r="21" spans="2:11">
      <c r="B21" s="49" t="s">
        <v>256</v>
      </c>
      <c r="C21" s="7"/>
      <c r="D21" s="7"/>
      <c r="E21" s="7"/>
      <c r="F21" s="7"/>
      <c r="G21" s="7"/>
      <c r="H21" s="7"/>
      <c r="K21" s="13" t="s">
        <v>190</v>
      </c>
    </row>
    <row r="22" spans="2:11">
      <c r="B22" s="51" t="s">
        <v>247</v>
      </c>
      <c r="C22" s="7"/>
      <c r="D22" s="7"/>
      <c r="E22" s="7"/>
      <c r="K22" s="13" t="s">
        <v>191</v>
      </c>
    </row>
    <row r="23" spans="2:11">
      <c r="B23" s="51" t="s">
        <v>248</v>
      </c>
      <c r="C23" s="7"/>
      <c r="D23" s="7"/>
      <c r="E23" s="7"/>
      <c r="K23" s="13" t="s">
        <v>192</v>
      </c>
    </row>
    <row r="24" spans="2:11">
      <c r="B24" s="51" t="s">
        <v>249</v>
      </c>
      <c r="C24" s="7"/>
      <c r="D24" s="7"/>
      <c r="E24" s="7"/>
      <c r="K24" s="13" t="s">
        <v>193</v>
      </c>
    </row>
    <row r="25" spans="2:11">
      <c r="B25" s="51" t="s">
        <v>257</v>
      </c>
      <c r="C25" s="7"/>
      <c r="D25" s="7"/>
      <c r="E25" s="7"/>
      <c r="K25" s="13" t="s">
        <v>194</v>
      </c>
    </row>
    <row r="26" spans="2:11">
      <c r="B26" s="51" t="s">
        <v>258</v>
      </c>
      <c r="C26" s="7"/>
      <c r="D26" s="7"/>
      <c r="E26" s="7"/>
      <c r="K26" s="13" t="s">
        <v>195</v>
      </c>
    </row>
    <row r="27" spans="2:11">
      <c r="B27" s="51" t="s">
        <v>259</v>
      </c>
      <c r="C27" s="7"/>
      <c r="D27" s="7"/>
      <c r="E27" s="7"/>
      <c r="K27" s="13" t="s">
        <v>196</v>
      </c>
    </row>
    <row r="28" spans="2:11">
      <c r="B28" s="51" t="s">
        <v>260</v>
      </c>
      <c r="C28" s="7"/>
      <c r="D28" s="7"/>
      <c r="E28" s="7"/>
      <c r="K28" s="13" t="s">
        <v>197</v>
      </c>
    </row>
    <row r="29" spans="2:11">
      <c r="B29" s="51" t="s">
        <v>261</v>
      </c>
      <c r="C29" s="7"/>
      <c r="D29" s="7"/>
      <c r="E29" s="7"/>
      <c r="K29" s="13"/>
    </row>
    <row r="30" spans="2:11">
      <c r="B30" s="51" t="s">
        <v>262</v>
      </c>
      <c r="C30" s="7"/>
      <c r="D30" s="7"/>
      <c r="E30" s="7"/>
      <c r="K30" s="13" t="s">
        <v>198</v>
      </c>
    </row>
    <row r="31" spans="2:11">
      <c r="B31" s="51" t="s">
        <v>263</v>
      </c>
      <c r="C31" s="7"/>
      <c r="D31" s="7"/>
      <c r="E31" s="7"/>
      <c r="K31" s="13" t="s">
        <v>199</v>
      </c>
    </row>
    <row r="32" spans="2:11">
      <c r="B32" s="51" t="s">
        <v>264</v>
      </c>
      <c r="C32" s="7"/>
      <c r="D32" s="7"/>
      <c r="E32" s="7"/>
      <c r="K32" s="13" t="s">
        <v>200</v>
      </c>
    </row>
    <row r="33" spans="2:11">
      <c r="B33" s="51" t="s">
        <v>265</v>
      </c>
      <c r="C33" s="7"/>
      <c r="D33" s="7"/>
      <c r="E33" s="7"/>
      <c r="K33" s="13" t="s">
        <v>201</v>
      </c>
    </row>
    <row r="34" spans="2:11">
      <c r="B34" s="51" t="s">
        <v>266</v>
      </c>
      <c r="C34" s="7"/>
      <c r="D34" s="7"/>
      <c r="E34" s="7"/>
      <c r="K34" s="13" t="s">
        <v>202</v>
      </c>
    </row>
    <row r="35" spans="2:11">
      <c r="B35" s="51" t="s">
        <v>267</v>
      </c>
      <c r="C35" s="7"/>
      <c r="D35" s="7"/>
      <c r="E35" s="7"/>
      <c r="K35" s="13" t="s">
        <v>203</v>
      </c>
    </row>
    <row r="36" spans="2:11">
      <c r="B36" s="51" t="s">
        <v>268</v>
      </c>
      <c r="C36" s="7"/>
      <c r="D36" s="7"/>
      <c r="E36" s="7"/>
      <c r="K36" s="13"/>
    </row>
    <row r="37" spans="2:11">
      <c r="B37" s="51" t="s">
        <v>269</v>
      </c>
      <c r="C37" s="7"/>
      <c r="D37" s="7"/>
      <c r="E37" s="7"/>
      <c r="K37" s="13" t="s">
        <v>204</v>
      </c>
    </row>
    <row r="38" spans="2:11">
      <c r="B38" s="51" t="s">
        <v>270</v>
      </c>
      <c r="C38" s="7"/>
      <c r="D38" s="7"/>
      <c r="E38" s="7"/>
      <c r="K38" s="13" t="s">
        <v>205</v>
      </c>
    </row>
    <row r="39" spans="2:11">
      <c r="B39" s="51" t="s">
        <v>271</v>
      </c>
      <c r="C39" s="7"/>
      <c r="D39" s="7"/>
      <c r="E39" s="7"/>
      <c r="K39" s="13" t="s">
        <v>206</v>
      </c>
    </row>
    <row r="40" spans="2:11">
      <c r="B40" s="51" t="s">
        <v>272</v>
      </c>
      <c r="C40" s="7"/>
      <c r="D40" s="7"/>
      <c r="E40" s="7"/>
      <c r="K40" s="13" t="s">
        <v>207</v>
      </c>
    </row>
    <row r="41" spans="2:11">
      <c r="B41" s="51" t="s">
        <v>273</v>
      </c>
      <c r="C41" s="7"/>
      <c r="D41" s="7"/>
      <c r="E41" s="7"/>
      <c r="K41" s="13" t="s">
        <v>208</v>
      </c>
    </row>
    <row r="42" spans="2:11">
      <c r="B42" s="51" t="s">
        <v>274</v>
      </c>
      <c r="C42" s="7"/>
      <c r="D42" s="7"/>
      <c r="E42" s="7"/>
      <c r="K42" s="13" t="s">
        <v>209</v>
      </c>
    </row>
    <row r="43" spans="2:11">
      <c r="B43" s="51" t="s">
        <v>275</v>
      </c>
      <c r="C43" s="7"/>
      <c r="D43" s="7"/>
      <c r="E43" s="7"/>
      <c r="K43" s="13" t="s">
        <v>210</v>
      </c>
    </row>
    <row r="44" spans="2:11">
      <c r="B44" s="51" t="s">
        <v>276</v>
      </c>
      <c r="C44" s="7"/>
      <c r="D44" s="7"/>
      <c r="E44" s="7"/>
      <c r="K44" s="13" t="s">
        <v>211</v>
      </c>
    </row>
    <row r="45" spans="2:11">
      <c r="K45" s="13" t="s">
        <v>212</v>
      </c>
    </row>
    <row r="46" spans="2:11">
      <c r="K46" s="13" t="s">
        <v>213</v>
      </c>
    </row>
    <row r="47" spans="2:11">
      <c r="B47" s="50" t="s">
        <v>277</v>
      </c>
      <c r="K47" s="13" t="s">
        <v>214</v>
      </c>
    </row>
    <row r="48" spans="2:11">
      <c r="B48" s="50" t="s">
        <v>278</v>
      </c>
      <c r="K48" s="13" t="s">
        <v>215</v>
      </c>
    </row>
    <row r="49" spans="2:11">
      <c r="B49" s="50"/>
      <c r="K49" s="13" t="s">
        <v>216</v>
      </c>
    </row>
    <row r="50" spans="2:11">
      <c r="B50" s="50" t="s">
        <v>279</v>
      </c>
      <c r="K50" s="13" t="s">
        <v>217</v>
      </c>
    </row>
    <row r="51" spans="2:11">
      <c r="B51" s="50" t="s">
        <v>280</v>
      </c>
      <c r="K51" s="13" t="s">
        <v>218</v>
      </c>
    </row>
    <row r="52" spans="2:11">
      <c r="B52" s="50" t="s">
        <v>281</v>
      </c>
      <c r="K52" s="13" t="s">
        <v>219</v>
      </c>
    </row>
    <row r="53" spans="2:11">
      <c r="B53" s="51" t="s">
        <v>326</v>
      </c>
      <c r="C53" s="7"/>
      <c r="K53" s="13" t="s">
        <v>220</v>
      </c>
    </row>
    <row r="54" spans="2:11">
      <c r="B54" s="50"/>
      <c r="K54" s="13" t="s">
        <v>221</v>
      </c>
    </row>
    <row r="55" spans="2:11">
      <c r="B55" s="50" t="s">
        <v>282</v>
      </c>
      <c r="K55" s="13" t="s">
        <v>222</v>
      </c>
    </row>
    <row r="56" spans="2:11">
      <c r="B56" s="50" t="s">
        <v>283</v>
      </c>
      <c r="K56" s="13" t="s">
        <v>223</v>
      </c>
    </row>
    <row r="57" spans="2:11">
      <c r="B57" s="51" t="s">
        <v>327</v>
      </c>
      <c r="C57" s="7"/>
      <c r="K57" s="13" t="s">
        <v>224</v>
      </c>
    </row>
    <row r="58" spans="2:11">
      <c r="B58" s="50"/>
      <c r="K58" s="13" t="s">
        <v>225</v>
      </c>
    </row>
    <row r="59" spans="2:11">
      <c r="B59" s="50" t="s">
        <v>284</v>
      </c>
      <c r="K59" s="13" t="s">
        <v>226</v>
      </c>
    </row>
    <row r="60" spans="2:11">
      <c r="B60" s="50" t="s">
        <v>285</v>
      </c>
      <c r="K60" s="13" t="s">
        <v>227</v>
      </c>
    </row>
    <row r="61" spans="2:11">
      <c r="B61" s="50" t="s">
        <v>286</v>
      </c>
      <c r="K61" s="13" t="s">
        <v>228</v>
      </c>
    </row>
    <row r="62" spans="2:11">
      <c r="B62" s="50" t="s">
        <v>287</v>
      </c>
      <c r="K62" s="13" t="s">
        <v>229</v>
      </c>
    </row>
    <row r="63" spans="2:11">
      <c r="B63" s="50"/>
      <c r="K63" s="13" t="s">
        <v>230</v>
      </c>
    </row>
    <row r="64" spans="2:11">
      <c r="B64" s="50" t="s">
        <v>288</v>
      </c>
      <c r="K64" s="13" t="s">
        <v>231</v>
      </c>
    </row>
    <row r="65" spans="2:11">
      <c r="B65" s="50" t="s">
        <v>289</v>
      </c>
      <c r="K65" s="13" t="s">
        <v>232</v>
      </c>
    </row>
    <row r="66" spans="2:11">
      <c r="B66" s="50" t="s">
        <v>290</v>
      </c>
      <c r="K66" s="13" t="s">
        <v>233</v>
      </c>
    </row>
    <row r="67" spans="2:11">
      <c r="B67" s="50" t="s">
        <v>291</v>
      </c>
      <c r="K67" s="13" t="s">
        <v>234</v>
      </c>
    </row>
    <row r="68" spans="2:11">
      <c r="B68" s="50" t="s">
        <v>292</v>
      </c>
      <c r="K68" s="13" t="s">
        <v>235</v>
      </c>
    </row>
    <row r="69" spans="2:11">
      <c r="B69" s="50" t="s">
        <v>293</v>
      </c>
      <c r="K69" s="13" t="s">
        <v>236</v>
      </c>
    </row>
    <row r="70" spans="2:11">
      <c r="B70" s="50" t="s">
        <v>294</v>
      </c>
      <c r="K70" s="13" t="s">
        <v>237</v>
      </c>
    </row>
    <row r="71" spans="2:11">
      <c r="B71" s="50" t="s">
        <v>295</v>
      </c>
      <c r="K71" s="13" t="s">
        <v>238</v>
      </c>
    </row>
    <row r="72" spans="2:11">
      <c r="B72" s="50"/>
      <c r="K72" s="13" t="s">
        <v>215</v>
      </c>
    </row>
    <row r="73" spans="2:11">
      <c r="B73" s="50" t="s">
        <v>296</v>
      </c>
      <c r="K73" s="13" t="s">
        <v>239</v>
      </c>
    </row>
    <row r="74" spans="2:11">
      <c r="B74" s="50" t="s">
        <v>297</v>
      </c>
      <c r="K74" s="13" t="s">
        <v>240</v>
      </c>
    </row>
    <row r="75" spans="2:11">
      <c r="B75" s="50" t="s">
        <v>298</v>
      </c>
      <c r="K75" s="13" t="s">
        <v>241</v>
      </c>
    </row>
    <row r="76" spans="2:11">
      <c r="B76" s="50" t="s">
        <v>299</v>
      </c>
      <c r="K76" s="13" t="s">
        <v>242</v>
      </c>
    </row>
    <row r="77" spans="2:11">
      <c r="B77" s="50" t="s">
        <v>300</v>
      </c>
      <c r="K77" s="13" t="s">
        <v>243</v>
      </c>
    </row>
    <row r="78" spans="2:11">
      <c r="B78" s="50" t="s">
        <v>301</v>
      </c>
      <c r="K78" s="13"/>
    </row>
    <row r="79" spans="2:11">
      <c r="B79" s="50" t="s">
        <v>302</v>
      </c>
      <c r="G79" s="7"/>
      <c r="H79" s="7"/>
      <c r="I79" s="7"/>
      <c r="K79" s="13" t="s">
        <v>244</v>
      </c>
    </row>
    <row r="80" spans="2:11">
      <c r="B80" s="51" t="s">
        <v>303</v>
      </c>
      <c r="C80" s="7"/>
      <c r="D80" s="7"/>
      <c r="E80" s="7"/>
      <c r="F80" s="7"/>
      <c r="G80" s="7"/>
      <c r="H80" s="7"/>
      <c r="K80" s="13" t="s">
        <v>245</v>
      </c>
    </row>
    <row r="81" spans="2:8">
      <c r="B81" s="51" t="s">
        <v>304</v>
      </c>
      <c r="C81" s="7"/>
      <c r="D81" s="7"/>
      <c r="E81" s="7"/>
      <c r="F81" s="7"/>
      <c r="G81" s="7"/>
      <c r="H81" s="7"/>
    </row>
    <row r="82" spans="2:8">
      <c r="B82" s="51" t="s">
        <v>305</v>
      </c>
      <c r="C82" s="7"/>
      <c r="D82" s="7"/>
      <c r="E82" s="7"/>
      <c r="F82" s="7"/>
      <c r="G82" s="7"/>
      <c r="H82" s="7"/>
    </row>
    <row r="83" spans="2:8">
      <c r="B83" s="51" t="s">
        <v>306</v>
      </c>
      <c r="C83" s="7"/>
      <c r="D83" s="7"/>
      <c r="E83" s="7"/>
      <c r="F83" s="7"/>
      <c r="G83" s="7"/>
      <c r="H83" s="7"/>
    </row>
    <row r="84" spans="2:8">
      <c r="B84" s="50" t="s">
        <v>307</v>
      </c>
    </row>
    <row r="85" spans="2:8">
      <c r="B85" s="50"/>
    </row>
    <row r="86" spans="2:8">
      <c r="B86" s="51" t="s">
        <v>308</v>
      </c>
      <c r="C86" s="7"/>
      <c r="D86" s="7"/>
      <c r="E86" s="7"/>
      <c r="F86" s="7"/>
      <c r="G86" s="7"/>
    </row>
    <row r="87" spans="2:8">
      <c r="B87" s="51"/>
      <c r="C87" s="7"/>
      <c r="D87" s="7"/>
      <c r="E87" s="7"/>
      <c r="F87" s="7"/>
      <c r="G87" s="7"/>
    </row>
    <row r="88" spans="2:8">
      <c r="B88" s="51" t="s">
        <v>309</v>
      </c>
      <c r="C88" s="7"/>
      <c r="D88" s="7"/>
      <c r="E88" s="7"/>
      <c r="F88" s="7"/>
      <c r="G88" s="7"/>
    </row>
    <row r="89" spans="2:8">
      <c r="B89" s="50"/>
    </row>
    <row r="90" spans="2:8">
      <c r="B90" s="50" t="s">
        <v>310</v>
      </c>
    </row>
    <row r="91" spans="2:8">
      <c r="B91" s="50" t="s">
        <v>311</v>
      </c>
    </row>
    <row r="92" spans="2:8">
      <c r="B92" s="50" t="s">
        <v>312</v>
      </c>
    </row>
    <row r="93" spans="2:8">
      <c r="B93" s="50" t="s">
        <v>313</v>
      </c>
    </row>
    <row r="94" spans="2:8">
      <c r="B94" s="50" t="s">
        <v>314</v>
      </c>
    </row>
    <row r="95" spans="2:8">
      <c r="B95" s="50" t="s">
        <v>315</v>
      </c>
    </row>
    <row r="96" spans="2:8">
      <c r="B96" s="50" t="s">
        <v>316</v>
      </c>
    </row>
    <row r="97" spans="2:5">
      <c r="B97" s="50" t="s">
        <v>317</v>
      </c>
    </row>
    <row r="98" spans="2:5">
      <c r="B98" s="50" t="s">
        <v>318</v>
      </c>
    </row>
    <row r="99" spans="2:5">
      <c r="B99" s="50" t="s">
        <v>319</v>
      </c>
    </row>
    <row r="100" spans="2:5">
      <c r="B100" s="50" t="s">
        <v>320</v>
      </c>
    </row>
    <row r="101" spans="2:5">
      <c r="B101" s="50" t="s">
        <v>321</v>
      </c>
    </row>
    <row r="102" spans="2:5">
      <c r="B102" s="50" t="s">
        <v>322</v>
      </c>
    </row>
    <row r="103" spans="2:5">
      <c r="B103" s="51" t="s">
        <v>323</v>
      </c>
      <c r="C103" s="7"/>
      <c r="D103" s="7"/>
      <c r="E103" s="7"/>
    </row>
    <row r="104" spans="2:5">
      <c r="B104" s="50"/>
    </row>
    <row r="105" spans="2:5">
      <c r="B105" s="50" t="s">
        <v>284</v>
      </c>
    </row>
    <row r="106" spans="2:5">
      <c r="B106" s="50" t="s">
        <v>328</v>
      </c>
    </row>
    <row r="107" spans="2:5">
      <c r="B107" s="50" t="s">
        <v>324</v>
      </c>
    </row>
    <row r="108" spans="2:5">
      <c r="B108" s="50" t="s">
        <v>325</v>
      </c>
    </row>
    <row r="152" spans="3:10">
      <c r="C152" t="s">
        <v>329</v>
      </c>
    </row>
    <row r="153" spans="3:10">
      <c r="C153" t="s">
        <v>57</v>
      </c>
      <c r="E153">
        <f>Seismic!C470</f>
        <v>0.28000000000000003</v>
      </c>
    </row>
    <row r="154" spans="3:10">
      <c r="C154" t="s">
        <v>52</v>
      </c>
      <c r="E154">
        <f>Seismic!C468</f>
        <v>1.1499999999999999</v>
      </c>
    </row>
    <row r="155" spans="3:10">
      <c r="C155" t="s">
        <v>330</v>
      </c>
      <c r="E155" s="9">
        <f>(2/3)*E153*E154</f>
        <v>0.21466666666666667</v>
      </c>
    </row>
    <row r="156" spans="3:10">
      <c r="C156" t="s">
        <v>331</v>
      </c>
      <c r="E156" s="9">
        <f>0.5*E155</f>
        <v>0.10733333333333334</v>
      </c>
      <c r="F156" t="s">
        <v>332</v>
      </c>
    </row>
    <row r="158" spans="3:10">
      <c r="C158" s="49" t="s">
        <v>350</v>
      </c>
      <c r="D158" s="7"/>
      <c r="E158" s="7"/>
      <c r="F158" s="7"/>
      <c r="G158" s="7"/>
      <c r="H158" s="7"/>
      <c r="I158" s="7"/>
      <c r="J158" s="7"/>
    </row>
    <row r="159" spans="3:10">
      <c r="C159" s="7" t="s">
        <v>333</v>
      </c>
      <c r="D159" s="7"/>
      <c r="E159" s="7"/>
      <c r="F159" s="7" t="s">
        <v>334</v>
      </c>
      <c r="G159" s="52">
        <f>E156</f>
        <v>0.10733333333333334</v>
      </c>
      <c r="H159" s="7" t="s">
        <v>332</v>
      </c>
    </row>
    <row r="160" spans="3:10">
      <c r="C160" s="7" t="s">
        <v>335</v>
      </c>
      <c r="D160" s="7"/>
      <c r="E160" s="7"/>
      <c r="F160" s="7" t="s">
        <v>334</v>
      </c>
      <c r="G160" s="52">
        <f>G159</f>
        <v>0.10733333333333334</v>
      </c>
      <c r="H160" s="7" t="s">
        <v>332</v>
      </c>
    </row>
    <row r="161" spans="3:8">
      <c r="C161" s="7" t="s">
        <v>336</v>
      </c>
      <c r="D161" s="7"/>
      <c r="E161" s="7"/>
      <c r="F161" s="7" t="s">
        <v>334</v>
      </c>
      <c r="G161" s="52">
        <f t="shared" ref="G161:G162" si="0">G160</f>
        <v>0.10733333333333334</v>
      </c>
      <c r="H161" s="7" t="s">
        <v>332</v>
      </c>
    </row>
    <row r="162" spans="3:8">
      <c r="C162" s="7" t="s">
        <v>337</v>
      </c>
      <c r="D162" s="7"/>
      <c r="E162" s="7"/>
      <c r="F162" s="7" t="s">
        <v>334</v>
      </c>
      <c r="G162" s="52">
        <f t="shared" si="0"/>
        <v>0.10733333333333334</v>
      </c>
      <c r="H162" s="7" t="s">
        <v>332</v>
      </c>
    </row>
    <row r="163" spans="3:8">
      <c r="C163" s="7"/>
      <c r="D163" s="7"/>
      <c r="E163" s="7"/>
      <c r="F163" s="7"/>
      <c r="G163" s="7"/>
      <c r="H163" s="7"/>
    </row>
    <row r="164" spans="3:8">
      <c r="C164" s="7"/>
      <c r="D164" s="7"/>
      <c r="E164" s="7"/>
      <c r="F164" s="7"/>
      <c r="G164" s="7"/>
      <c r="H164" s="7"/>
    </row>
    <row r="165" spans="3:8">
      <c r="C165" s="7" t="s">
        <v>338</v>
      </c>
      <c r="D165" s="7"/>
      <c r="E165" s="7"/>
      <c r="F165" s="7" t="s">
        <v>334</v>
      </c>
      <c r="G165" s="52">
        <f>E156</f>
        <v>0.10733333333333334</v>
      </c>
      <c r="H165" s="7" t="s">
        <v>332</v>
      </c>
    </row>
    <row r="166" spans="3:8">
      <c r="C166" s="7" t="s">
        <v>339</v>
      </c>
      <c r="D166" s="7"/>
      <c r="E166" s="7"/>
      <c r="F166" s="7" t="s">
        <v>334</v>
      </c>
      <c r="G166" s="52">
        <f>G165</f>
        <v>0.10733333333333334</v>
      </c>
      <c r="H166" s="7" t="s">
        <v>332</v>
      </c>
    </row>
    <row r="167" spans="3:8">
      <c r="C167" s="7" t="s">
        <v>340</v>
      </c>
      <c r="D167" s="7"/>
      <c r="E167" s="7"/>
      <c r="F167" s="7" t="s">
        <v>334</v>
      </c>
      <c r="G167" s="52">
        <f>G166</f>
        <v>0.10733333333333334</v>
      </c>
      <c r="H167" s="7" t="s">
        <v>332</v>
      </c>
    </row>
    <row r="168" spans="3:8">
      <c r="C168" s="7" t="s">
        <v>341</v>
      </c>
      <c r="D168" s="7"/>
      <c r="E168" s="7"/>
      <c r="F168" s="7" t="s">
        <v>334</v>
      </c>
      <c r="G168" s="52">
        <f>G167</f>
        <v>0.10733333333333334</v>
      </c>
      <c r="H168" s="7" t="s">
        <v>332</v>
      </c>
    </row>
    <row r="169" spans="3:8">
      <c r="C169" s="7"/>
      <c r="D169" s="7"/>
      <c r="E169" s="7"/>
      <c r="F169" s="7"/>
      <c r="G169" s="7"/>
      <c r="H169" s="7"/>
    </row>
    <row r="170" spans="3:8">
      <c r="C170" s="7"/>
      <c r="D170" s="7"/>
      <c r="E170" s="7"/>
      <c r="F170" s="7"/>
      <c r="G170" s="7"/>
      <c r="H170" s="7"/>
    </row>
    <row r="171" spans="3:8">
      <c r="C171" s="7" t="s">
        <v>342</v>
      </c>
      <c r="D171" s="7"/>
      <c r="E171" s="7"/>
      <c r="F171" s="7" t="s">
        <v>334</v>
      </c>
      <c r="G171" s="52">
        <f>E156</f>
        <v>0.10733333333333334</v>
      </c>
      <c r="H171" s="7" t="s">
        <v>332</v>
      </c>
    </row>
    <row r="172" spans="3:8">
      <c r="C172" s="7" t="s">
        <v>343</v>
      </c>
      <c r="D172" s="7"/>
      <c r="E172" s="7"/>
      <c r="F172" s="7" t="s">
        <v>334</v>
      </c>
      <c r="G172" s="52">
        <f>G171</f>
        <v>0.10733333333333334</v>
      </c>
      <c r="H172" s="7" t="s">
        <v>332</v>
      </c>
    </row>
    <row r="173" spans="3:8">
      <c r="C173" s="7" t="s">
        <v>344</v>
      </c>
      <c r="D173" s="7"/>
      <c r="E173" s="7"/>
      <c r="F173" s="7" t="s">
        <v>334</v>
      </c>
      <c r="G173" s="52">
        <f t="shared" ref="G173:G174" si="1">G172</f>
        <v>0.10733333333333334</v>
      </c>
      <c r="H173" s="7" t="s">
        <v>332</v>
      </c>
    </row>
    <row r="174" spans="3:8">
      <c r="C174" s="7" t="s">
        <v>345</v>
      </c>
      <c r="D174" s="7"/>
      <c r="E174" s="7"/>
      <c r="F174" s="7" t="s">
        <v>334</v>
      </c>
      <c r="G174" s="52">
        <f t="shared" si="1"/>
        <v>0.10733333333333334</v>
      </c>
      <c r="H174" s="7" t="s">
        <v>332</v>
      </c>
    </row>
    <row r="175" spans="3:8">
      <c r="C175" s="7"/>
      <c r="D175" s="7"/>
      <c r="E175" s="7"/>
      <c r="F175" s="7"/>
      <c r="G175" s="7"/>
      <c r="H175" s="7"/>
    </row>
    <row r="176" spans="3:8">
      <c r="C176" s="7"/>
      <c r="D176" s="7"/>
      <c r="E176" s="7"/>
      <c r="F176" s="7"/>
      <c r="G176" s="7"/>
      <c r="H176" s="7"/>
    </row>
    <row r="177" spans="3:8">
      <c r="C177" s="7" t="s">
        <v>346</v>
      </c>
      <c r="D177" s="7"/>
      <c r="E177" s="7"/>
      <c r="F177" s="7" t="s">
        <v>334</v>
      </c>
      <c r="G177" s="52">
        <f>E156</f>
        <v>0.10733333333333334</v>
      </c>
      <c r="H177" s="7" t="s">
        <v>332</v>
      </c>
    </row>
    <row r="178" spans="3:8">
      <c r="C178" s="7" t="s">
        <v>347</v>
      </c>
      <c r="D178" s="7"/>
      <c r="E178" s="7"/>
      <c r="F178" s="7" t="s">
        <v>334</v>
      </c>
      <c r="G178" s="52">
        <f>G177</f>
        <v>0.10733333333333334</v>
      </c>
      <c r="H178" s="7" t="s">
        <v>332</v>
      </c>
    </row>
    <row r="179" spans="3:8">
      <c r="C179" s="7" t="s">
        <v>348</v>
      </c>
      <c r="D179" s="7"/>
      <c r="E179" s="7"/>
      <c r="F179" s="7" t="s">
        <v>334</v>
      </c>
      <c r="G179" s="52">
        <f>G178</f>
        <v>0.10733333333333334</v>
      </c>
      <c r="H179" s="7" t="s">
        <v>332</v>
      </c>
    </row>
    <row r="180" spans="3:8">
      <c r="C180" s="7" t="s">
        <v>349</v>
      </c>
      <c r="D180" s="7"/>
      <c r="E180" s="7"/>
      <c r="F180" s="7" t="s">
        <v>334</v>
      </c>
      <c r="G180" s="52">
        <f>G179</f>
        <v>0.10733333333333334</v>
      </c>
      <c r="H180" s="7" t="s">
        <v>332</v>
      </c>
    </row>
    <row r="185" spans="3:8">
      <c r="C185" s="51" t="s">
        <v>247</v>
      </c>
      <c r="D185" s="7"/>
      <c r="E185" s="7"/>
      <c r="F185" s="7"/>
    </row>
    <row r="186" spans="3:8">
      <c r="C186" s="51" t="s">
        <v>248</v>
      </c>
      <c r="D186" s="7"/>
      <c r="E186" s="7"/>
      <c r="F186" s="7"/>
    </row>
    <row r="187" spans="3:8">
      <c r="C187" s="51" t="s">
        <v>249</v>
      </c>
      <c r="D187" s="7"/>
      <c r="E187" s="7"/>
      <c r="F187" s="7"/>
    </row>
    <row r="188" spans="3:8">
      <c r="C188" s="51" t="s">
        <v>257</v>
      </c>
      <c r="D188" s="7"/>
      <c r="E188" s="7"/>
      <c r="F188" s="7"/>
    </row>
    <row r="189" spans="3:8">
      <c r="C189" s="51" t="s">
        <v>258</v>
      </c>
      <c r="D189" s="7"/>
      <c r="E189" s="7"/>
      <c r="F189" s="7"/>
    </row>
    <row r="190" spans="3:8">
      <c r="C190" s="51" t="s">
        <v>259</v>
      </c>
      <c r="D190" s="7"/>
      <c r="E190" s="7"/>
      <c r="F190" s="7"/>
    </row>
    <row r="191" spans="3:8">
      <c r="C191" s="51" t="s">
        <v>260</v>
      </c>
      <c r="D191" s="7"/>
      <c r="E191" s="7"/>
      <c r="F191" s="7"/>
    </row>
    <row r="192" spans="3:8">
      <c r="C192" s="51" t="s">
        <v>261</v>
      </c>
      <c r="D192" s="7"/>
      <c r="E192" s="7"/>
      <c r="F192" s="7"/>
    </row>
    <row r="193" spans="3:6">
      <c r="C193" s="51" t="s">
        <v>262</v>
      </c>
      <c r="D193" s="7"/>
      <c r="E193" s="7"/>
      <c r="F193" s="7"/>
    </row>
    <row r="194" spans="3:6">
      <c r="C194" s="51" t="s">
        <v>263</v>
      </c>
      <c r="D194" s="7"/>
      <c r="E194" s="7"/>
      <c r="F194" s="7"/>
    </row>
    <row r="195" spans="3:6">
      <c r="C195" s="51" t="s">
        <v>264</v>
      </c>
      <c r="D195" s="7"/>
      <c r="E195" s="7"/>
      <c r="F195" s="7"/>
    </row>
    <row r="196" spans="3:6">
      <c r="C196" s="51" t="s">
        <v>265</v>
      </c>
      <c r="D196" s="7"/>
      <c r="E196" s="7"/>
      <c r="F196" s="7"/>
    </row>
    <row r="197" spans="3:6">
      <c r="C197" s="51" t="s">
        <v>266</v>
      </c>
      <c r="D197" s="7"/>
      <c r="E197" s="7"/>
      <c r="F197" s="7"/>
    </row>
    <row r="198" spans="3:6">
      <c r="C198" s="51" t="s">
        <v>267</v>
      </c>
      <c r="D198" s="7"/>
      <c r="E198" s="7"/>
      <c r="F198" s="7"/>
    </row>
    <row r="199" spans="3:6">
      <c r="C199" s="51" t="s">
        <v>268</v>
      </c>
      <c r="D199" s="7"/>
      <c r="E199" s="7"/>
      <c r="F199" s="7"/>
    </row>
    <row r="200" spans="3:6">
      <c r="C200" s="51" t="s">
        <v>269</v>
      </c>
      <c r="D200" s="7"/>
      <c r="E200" s="7"/>
      <c r="F200" s="7"/>
    </row>
    <row r="201" spans="3:6">
      <c r="C201" s="51" t="s">
        <v>270</v>
      </c>
      <c r="D201" s="7"/>
      <c r="E201" s="7"/>
      <c r="F201" s="7"/>
    </row>
    <row r="202" spans="3:6">
      <c r="C202" s="51" t="s">
        <v>271</v>
      </c>
      <c r="D202" s="7"/>
      <c r="E202" s="7"/>
      <c r="F202" s="7"/>
    </row>
    <row r="203" spans="3:6">
      <c r="C203" s="51" t="s">
        <v>272</v>
      </c>
      <c r="D203" s="7"/>
      <c r="E203" s="7"/>
      <c r="F203" s="7"/>
    </row>
    <row r="204" spans="3:6">
      <c r="C204" s="51" t="s">
        <v>273</v>
      </c>
      <c r="D204" s="7"/>
      <c r="E204" s="7"/>
      <c r="F204" s="7"/>
    </row>
    <row r="205" spans="3:6">
      <c r="C205" s="51" t="s">
        <v>274</v>
      </c>
      <c r="D205" s="7"/>
      <c r="E205" s="7"/>
      <c r="F205" s="7"/>
    </row>
    <row r="206" spans="3:6">
      <c r="C206" s="51" t="s">
        <v>275</v>
      </c>
      <c r="D206" s="7"/>
      <c r="E206" s="7"/>
      <c r="F206" s="7"/>
    </row>
    <row r="207" spans="3:6">
      <c r="C207" s="51" t="s">
        <v>276</v>
      </c>
      <c r="D207" s="7"/>
      <c r="E207" s="7"/>
      <c r="F207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Seismic</vt:lpstr>
      <vt:lpstr>wind</vt:lpstr>
      <vt:lpstr>eccentricity</vt:lpstr>
      <vt:lpstr>Water Tank</vt:lpstr>
      <vt:lpstr>Load combination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2021-12-17T04:22:29Z</dcterms:created>
  <dcterms:modified xsi:type="dcterms:W3CDTF">2021-12-20T21:04:22Z</dcterms:modified>
</cp:coreProperties>
</file>