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esign\"/>
    </mc:Choice>
  </mc:AlternateContent>
  <bookViews>
    <workbookView xWindow="0" yWindow="0" windowWidth="2370" windowHeight="0" firstSheet="1" activeTab="2"/>
  </bookViews>
  <sheets>
    <sheet name="PILE ARRANGEMENT(Metric)" sheetId="5" r:id="rId1"/>
    <sheet name="PILE ARRANGEMENT(SI)" sheetId="6" r:id="rId2"/>
    <sheet name="PILE CAPACITY(USING SPT)" sheetId="7" r:id="rId3"/>
    <sheet name="Pile Cap Calculations  " sheetId="8" r:id="rId4"/>
    <sheet name="Spring Constant" sheetId="10" r:id="rId5"/>
    <sheet name="GW tank design" sheetId="9" r:id="rId6"/>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 i="10" l="1"/>
  <c r="G16" i="10"/>
  <c r="K33" i="10"/>
  <c r="J33" i="10"/>
  <c r="L33" i="10" s="1"/>
  <c r="F33" i="10"/>
  <c r="E33" i="10"/>
  <c r="G33" i="10" s="1"/>
  <c r="K32" i="10"/>
  <c r="J32" i="10"/>
  <c r="L32" i="10" s="1"/>
  <c r="F32" i="10"/>
  <c r="E32" i="10"/>
  <c r="G32" i="10" s="1"/>
  <c r="L31" i="10"/>
  <c r="K31" i="10"/>
  <c r="J31" i="10"/>
  <c r="F31" i="10"/>
  <c r="E31" i="10"/>
  <c r="G31" i="10" s="1"/>
  <c r="K30" i="10"/>
  <c r="L30" i="10" s="1"/>
  <c r="J30" i="10"/>
  <c r="F30" i="10"/>
  <c r="E30" i="10"/>
  <c r="G30" i="10" s="1"/>
  <c r="K29" i="10"/>
  <c r="J29" i="10"/>
  <c r="L29" i="10" s="1"/>
  <c r="F29" i="10"/>
  <c r="E29" i="10"/>
  <c r="G29" i="10" s="1"/>
  <c r="U28" i="10"/>
  <c r="T28" i="10"/>
  <c r="K28" i="10"/>
  <c r="J28" i="10"/>
  <c r="L28" i="10" s="1"/>
  <c r="M28" i="10" s="1"/>
  <c r="N28" i="10" s="1"/>
  <c r="F28" i="10"/>
  <c r="G28" i="10" s="1"/>
  <c r="E28" i="10"/>
  <c r="U27" i="10"/>
  <c r="T27" i="10"/>
  <c r="L27" i="10"/>
  <c r="K27" i="10"/>
  <c r="J27" i="10"/>
  <c r="F27" i="10"/>
  <c r="E27" i="10"/>
  <c r="G27" i="10" s="1"/>
  <c r="U26" i="10"/>
  <c r="T26" i="10"/>
  <c r="K26" i="10"/>
  <c r="J26" i="10"/>
  <c r="L26" i="10" s="1"/>
  <c r="F26" i="10"/>
  <c r="E26" i="10"/>
  <c r="G26" i="10" s="1"/>
  <c r="L25" i="10"/>
  <c r="K25" i="10"/>
  <c r="J25" i="10"/>
  <c r="F25" i="10"/>
  <c r="E25" i="10"/>
  <c r="G25" i="10" s="1"/>
  <c r="U24" i="10"/>
  <c r="T24" i="10"/>
  <c r="K24" i="10"/>
  <c r="J24" i="10"/>
  <c r="L24" i="10" s="1"/>
  <c r="M24" i="10" s="1"/>
  <c r="N24" i="10" s="1"/>
  <c r="F24" i="10"/>
  <c r="E24" i="10"/>
  <c r="G24" i="10" s="1"/>
  <c r="U23" i="10"/>
  <c r="T23" i="10"/>
  <c r="K23" i="10"/>
  <c r="J23" i="10"/>
  <c r="L23" i="10" s="1"/>
  <c r="F23" i="10"/>
  <c r="G23" i="10" s="1"/>
  <c r="E23" i="10"/>
  <c r="U22" i="10"/>
  <c r="T22" i="10"/>
  <c r="L22" i="10"/>
  <c r="M22" i="10" s="1"/>
  <c r="N22" i="10" s="1"/>
  <c r="K22" i="10"/>
  <c r="J22" i="10"/>
  <c r="F22" i="10"/>
  <c r="E22" i="10"/>
  <c r="G22" i="10" s="1"/>
  <c r="K21" i="10"/>
  <c r="L21" i="10" s="1"/>
  <c r="J21" i="10"/>
  <c r="F21" i="10"/>
  <c r="E21" i="10"/>
  <c r="G21" i="10" s="1"/>
  <c r="U20" i="10"/>
  <c r="T20" i="10"/>
  <c r="L20" i="10"/>
  <c r="M20" i="10" s="1"/>
  <c r="N20" i="10" s="1"/>
  <c r="K20" i="10"/>
  <c r="J20" i="10"/>
  <c r="F20" i="10"/>
  <c r="E20" i="10"/>
  <c r="G20" i="10" s="1"/>
  <c r="U19" i="10"/>
  <c r="T19" i="10"/>
  <c r="K19" i="10"/>
  <c r="J19" i="10"/>
  <c r="L19" i="10" s="1"/>
  <c r="F19" i="10"/>
  <c r="E19" i="10"/>
  <c r="G19" i="10" s="1"/>
  <c r="L18" i="10"/>
  <c r="M18" i="10" s="1"/>
  <c r="N18" i="10" s="1"/>
  <c r="K18" i="10"/>
  <c r="J18" i="10"/>
  <c r="F18" i="10"/>
  <c r="E18" i="10"/>
  <c r="G18" i="10" s="1"/>
  <c r="K17" i="10"/>
  <c r="L17" i="10" s="1"/>
  <c r="J17" i="10"/>
  <c r="F17" i="10"/>
  <c r="E17" i="10"/>
  <c r="G17" i="10" s="1"/>
  <c r="K16" i="10"/>
  <c r="L16" i="10"/>
  <c r="F16" i="10"/>
  <c r="E16" i="10"/>
  <c r="E31" i="8"/>
  <c r="M31" i="10" l="1"/>
  <c r="N31" i="10" s="1"/>
  <c r="M27" i="10"/>
  <c r="N27" i="10" s="1"/>
  <c r="M32" i="10"/>
  <c r="N32" i="10" s="1"/>
  <c r="M25" i="10"/>
  <c r="N25" i="10" s="1"/>
  <c r="M23" i="10"/>
  <c r="N23" i="10" s="1"/>
  <c r="M19" i="10"/>
  <c r="N19" i="10" s="1"/>
  <c r="M17" i="10"/>
  <c r="N17" i="10" s="1"/>
  <c r="M16" i="10"/>
  <c r="N16" i="10" s="1"/>
  <c r="M29" i="10"/>
  <c r="N29" i="10" s="1"/>
  <c r="M21" i="10"/>
  <c r="N21" i="10" s="1"/>
  <c r="M26" i="10"/>
  <c r="N26" i="10" s="1"/>
  <c r="M30" i="10"/>
  <c r="N30" i="10" s="1"/>
  <c r="M33" i="10"/>
  <c r="N33" i="10" s="1"/>
  <c r="B50" i="9"/>
  <c r="B40" i="9"/>
  <c r="G41" i="9"/>
  <c r="G47" i="9"/>
  <c r="G23" i="9"/>
  <c r="G36" i="9" s="1"/>
  <c r="G37" i="9" s="1"/>
  <c r="G20" i="9"/>
  <c r="G21" i="9" s="1"/>
  <c r="G24" i="9" s="1"/>
  <c r="H31" i="8"/>
  <c r="H28" i="8"/>
  <c r="H27" i="8"/>
  <c r="H26" i="8"/>
  <c r="H25" i="8"/>
  <c r="H24" i="8"/>
  <c r="H23" i="8"/>
  <c r="H21" i="8"/>
  <c r="H20" i="8"/>
  <c r="H19" i="8"/>
  <c r="E15" i="8"/>
  <c r="H14" i="8"/>
  <c r="T13" i="8"/>
  <c r="V13" i="8" s="1"/>
  <c r="O13" i="8"/>
  <c r="M12" i="8"/>
  <c r="O12" i="8" s="1"/>
  <c r="H11" i="8"/>
  <c r="V10" i="8"/>
  <c r="T10" i="8"/>
  <c r="M10" i="8"/>
  <c r="O10" i="8" s="1"/>
  <c r="T9" i="8"/>
  <c r="T12" i="8" s="1"/>
  <c r="V12" i="8" s="1"/>
  <c r="M9" i="8"/>
  <c r="O9" i="8" s="1"/>
  <c r="H9" i="8"/>
  <c r="T8" i="8"/>
  <c r="M8" i="8"/>
  <c r="M11" i="8" s="1"/>
  <c r="O11" i="8" s="1"/>
  <c r="T7" i="8"/>
  <c r="M7" i="8"/>
  <c r="H5" i="8"/>
  <c r="Q4" i="8"/>
  <c r="H4" i="8"/>
  <c r="F80" i="7"/>
  <c r="D80" i="7"/>
  <c r="J80" i="7" s="1"/>
  <c r="F79" i="7"/>
  <c r="D79" i="7"/>
  <c r="E80" i="7" s="1"/>
  <c r="G80" i="7" s="1"/>
  <c r="H80" i="7" s="1"/>
  <c r="F78" i="7"/>
  <c r="D78" i="7"/>
  <c r="E79" i="7" s="1"/>
  <c r="G79" i="7" s="1"/>
  <c r="H79" i="7" s="1"/>
  <c r="F77" i="7"/>
  <c r="D77" i="7"/>
  <c r="E78" i="7" s="1"/>
  <c r="G78" i="7" s="1"/>
  <c r="H78" i="7" s="1"/>
  <c r="F76" i="7"/>
  <c r="D76" i="7"/>
  <c r="F75" i="7"/>
  <c r="D75" i="7"/>
  <c r="F74" i="7"/>
  <c r="D74" i="7"/>
  <c r="E75" i="7" s="1"/>
  <c r="G75" i="7" s="1"/>
  <c r="H75" i="7" s="1"/>
  <c r="F73" i="7"/>
  <c r="D73" i="7"/>
  <c r="E74" i="7" s="1"/>
  <c r="G74" i="7" s="1"/>
  <c r="H74" i="7" s="1"/>
  <c r="F72" i="7"/>
  <c r="D72" i="7"/>
  <c r="E73" i="7" s="1"/>
  <c r="G73" i="7" s="1"/>
  <c r="H73" i="7" s="1"/>
  <c r="F71" i="7"/>
  <c r="D71" i="7"/>
  <c r="E72" i="7" s="1"/>
  <c r="G72" i="7" s="1"/>
  <c r="H72" i="7" s="1"/>
  <c r="F70" i="7"/>
  <c r="D70" i="7"/>
  <c r="F69" i="7"/>
  <c r="D69" i="7"/>
  <c r="F68" i="7"/>
  <c r="D68" i="7"/>
  <c r="E69" i="7" s="1"/>
  <c r="G69" i="7" s="1"/>
  <c r="H69" i="7" s="1"/>
  <c r="F67" i="7"/>
  <c r="D67" i="7"/>
  <c r="E68" i="7" s="1"/>
  <c r="G68" i="7" s="1"/>
  <c r="H68" i="7" s="1"/>
  <c r="F66" i="7"/>
  <c r="D66" i="7"/>
  <c r="E67" i="7" s="1"/>
  <c r="G67" i="7" s="1"/>
  <c r="H67" i="7" s="1"/>
  <c r="F65" i="7"/>
  <c r="D65" i="7"/>
  <c r="E66" i="7" s="1"/>
  <c r="G66" i="7" s="1"/>
  <c r="H66" i="7" s="1"/>
  <c r="F64" i="7"/>
  <c r="D64" i="7"/>
  <c r="F63" i="7"/>
  <c r="D63" i="7"/>
  <c r="F62" i="7"/>
  <c r="D62" i="7"/>
  <c r="E63" i="7" s="1"/>
  <c r="G63" i="7" s="1"/>
  <c r="H63" i="7" s="1"/>
  <c r="F61" i="7"/>
  <c r="D61" i="7"/>
  <c r="E62" i="7" s="1"/>
  <c r="G62" i="7" s="1"/>
  <c r="H62" i="7" s="1"/>
  <c r="F60" i="7"/>
  <c r="D60" i="7"/>
  <c r="E61" i="7" s="1"/>
  <c r="G61" i="7" s="1"/>
  <c r="H61" i="7" s="1"/>
  <c r="B60" i="7"/>
  <c r="B61" i="7" s="1"/>
  <c r="B62" i="7" s="1"/>
  <c r="B63" i="7" s="1"/>
  <c r="B64" i="7" s="1"/>
  <c r="B65" i="7" s="1"/>
  <c r="B66" i="7" s="1"/>
  <c r="B67" i="7" s="1"/>
  <c r="B68" i="7" s="1"/>
  <c r="B69" i="7" s="1"/>
  <c r="B70" i="7" s="1"/>
  <c r="B71" i="7" s="1"/>
  <c r="B72" i="7" s="1"/>
  <c r="B73" i="7" s="1"/>
  <c r="B74" i="7" s="1"/>
  <c r="B75" i="7" s="1"/>
  <c r="B76" i="7" s="1"/>
  <c r="B77" i="7" s="1"/>
  <c r="B78" i="7" s="1"/>
  <c r="B79" i="7" s="1"/>
  <c r="B80" i="7" s="1"/>
  <c r="F54" i="7"/>
  <c r="D54" i="7"/>
  <c r="J54" i="7" s="1"/>
  <c r="F53" i="7"/>
  <c r="D53" i="7"/>
  <c r="F52" i="7"/>
  <c r="D52" i="7"/>
  <c r="F51" i="7"/>
  <c r="D51" i="7"/>
  <c r="E52" i="7" s="1"/>
  <c r="G52" i="7" s="1"/>
  <c r="H52" i="7" s="1"/>
  <c r="F50" i="7"/>
  <c r="D50" i="7"/>
  <c r="E51" i="7" s="1"/>
  <c r="G51" i="7" s="1"/>
  <c r="H51" i="7" s="1"/>
  <c r="F49" i="7"/>
  <c r="D49" i="7"/>
  <c r="J49" i="7" s="1"/>
  <c r="F48" i="7"/>
  <c r="D48" i="7"/>
  <c r="J47" i="7"/>
  <c r="F47" i="7"/>
  <c r="D47" i="7"/>
  <c r="F46" i="7"/>
  <c r="D46" i="7"/>
  <c r="E47" i="7" s="1"/>
  <c r="G47" i="7" s="1"/>
  <c r="H47" i="7" s="1"/>
  <c r="F45" i="7"/>
  <c r="D45" i="7"/>
  <c r="J45" i="7" s="1"/>
  <c r="F44" i="7"/>
  <c r="D44" i="7"/>
  <c r="E45" i="7" s="1"/>
  <c r="G45" i="7" s="1"/>
  <c r="H45" i="7" s="1"/>
  <c r="J43" i="7"/>
  <c r="F43" i="7"/>
  <c r="D43" i="7"/>
  <c r="F42" i="7"/>
  <c r="D42" i="7"/>
  <c r="F41" i="7"/>
  <c r="D41" i="7"/>
  <c r="J41" i="7" s="1"/>
  <c r="F40" i="7"/>
  <c r="D40" i="7"/>
  <c r="E41" i="7" s="1"/>
  <c r="G41" i="7" s="1"/>
  <c r="H41" i="7" s="1"/>
  <c r="F39" i="7"/>
  <c r="D39" i="7"/>
  <c r="E40" i="7" s="1"/>
  <c r="G40" i="7" s="1"/>
  <c r="H40" i="7" s="1"/>
  <c r="F38" i="7"/>
  <c r="D38" i="7"/>
  <c r="F37" i="7"/>
  <c r="D37" i="7"/>
  <c r="J37" i="7" s="1"/>
  <c r="F36" i="7"/>
  <c r="D36" i="7"/>
  <c r="F35" i="7"/>
  <c r="D35" i="7"/>
  <c r="E36" i="7" s="1"/>
  <c r="G36" i="7" s="1"/>
  <c r="H36" i="7" s="1"/>
  <c r="F34" i="7"/>
  <c r="D34" i="7"/>
  <c r="B34" i="7"/>
  <c r="B35" i="7" s="1"/>
  <c r="B36" i="7" s="1"/>
  <c r="B37" i="7" s="1"/>
  <c r="B38" i="7" s="1"/>
  <c r="B39" i="7" s="1"/>
  <c r="B40" i="7" s="1"/>
  <c r="B41" i="7" s="1"/>
  <c r="B42" i="7" s="1"/>
  <c r="B43" i="7" s="1"/>
  <c r="B44" i="7" s="1"/>
  <c r="B45" i="7" s="1"/>
  <c r="B46" i="7" s="1"/>
  <c r="B47" i="7" s="1"/>
  <c r="B48" i="7" s="1"/>
  <c r="B49" i="7" s="1"/>
  <c r="B50" i="7" s="1"/>
  <c r="B51" i="7" s="1"/>
  <c r="B52" i="7" s="1"/>
  <c r="B53" i="7" s="1"/>
  <c r="B54" i="7" s="1"/>
  <c r="F28" i="7"/>
  <c r="D28" i="7"/>
  <c r="J28" i="7" s="1"/>
  <c r="F27" i="7"/>
  <c r="D27" i="7"/>
  <c r="J27" i="7" s="1"/>
  <c r="F26" i="7"/>
  <c r="D26" i="7"/>
  <c r="F25" i="7"/>
  <c r="D25" i="7"/>
  <c r="E26" i="7" s="1"/>
  <c r="G26" i="7" s="1"/>
  <c r="H26" i="7" s="1"/>
  <c r="F24" i="7"/>
  <c r="D24" i="7"/>
  <c r="E25" i="7" s="1"/>
  <c r="G25" i="7" s="1"/>
  <c r="H25" i="7" s="1"/>
  <c r="F23" i="7"/>
  <c r="D23" i="7"/>
  <c r="J23" i="7" s="1"/>
  <c r="F22" i="7"/>
  <c r="D22" i="7"/>
  <c r="J21" i="7"/>
  <c r="F21" i="7"/>
  <c r="D21" i="7"/>
  <c r="F20" i="7"/>
  <c r="D20" i="7"/>
  <c r="E21" i="7" s="1"/>
  <c r="G21" i="7" s="1"/>
  <c r="H21" i="7" s="1"/>
  <c r="F19" i="7"/>
  <c r="D19" i="7"/>
  <c r="J19" i="7" s="1"/>
  <c r="F18" i="7"/>
  <c r="D18" i="7"/>
  <c r="E19" i="7" s="1"/>
  <c r="G19" i="7" s="1"/>
  <c r="H19" i="7" s="1"/>
  <c r="J17" i="7"/>
  <c r="F17" i="7"/>
  <c r="D17" i="7"/>
  <c r="F16" i="7"/>
  <c r="D16" i="7"/>
  <c r="F15" i="7"/>
  <c r="D15" i="7"/>
  <c r="J15" i="7" s="1"/>
  <c r="F14" i="7"/>
  <c r="D14" i="7"/>
  <c r="E15" i="7" s="1"/>
  <c r="G15" i="7" s="1"/>
  <c r="H15" i="7" s="1"/>
  <c r="F13" i="7"/>
  <c r="D13" i="7"/>
  <c r="E14" i="7" s="1"/>
  <c r="G14" i="7" s="1"/>
  <c r="H14" i="7" s="1"/>
  <c r="F12" i="7"/>
  <c r="D12" i="7"/>
  <c r="F11" i="7"/>
  <c r="D11" i="7"/>
  <c r="J11" i="7" s="1"/>
  <c r="F10" i="7"/>
  <c r="D10" i="7"/>
  <c r="F9" i="7"/>
  <c r="D9" i="7"/>
  <c r="E10" i="7" s="1"/>
  <c r="G10" i="7" s="1"/>
  <c r="H10" i="7" s="1"/>
  <c r="F8" i="7"/>
  <c r="D8" i="7"/>
  <c r="B8" i="7"/>
  <c r="B9" i="7" s="1"/>
  <c r="B10" i="7" s="1"/>
  <c r="B11" i="7" s="1"/>
  <c r="B12" i="7" s="1"/>
  <c r="B13" i="7" s="1"/>
  <c r="B14" i="7" s="1"/>
  <c r="B15" i="7" s="1"/>
  <c r="B16" i="7" s="1"/>
  <c r="B17" i="7" s="1"/>
  <c r="B18" i="7" s="1"/>
  <c r="B19" i="7" s="1"/>
  <c r="B20" i="7" s="1"/>
  <c r="B21" i="7" s="1"/>
  <c r="B22" i="7" s="1"/>
  <c r="B23" i="7" s="1"/>
  <c r="B24" i="7" s="1"/>
  <c r="B25" i="7" s="1"/>
  <c r="B26" i="7" s="1"/>
  <c r="B27" i="7" s="1"/>
  <c r="B28" i="7" s="1"/>
  <c r="T11" i="8" l="1"/>
  <c r="V11" i="8" s="1"/>
  <c r="E13" i="7"/>
  <c r="G13" i="7" s="1"/>
  <c r="H13" i="7" s="1"/>
  <c r="E39" i="7"/>
  <c r="G39" i="7" s="1"/>
  <c r="H39" i="7" s="1"/>
  <c r="E32" i="8"/>
  <c r="H32" i="8" s="1"/>
  <c r="J25" i="7"/>
  <c r="E11" i="7"/>
  <c r="G11" i="7" s="1"/>
  <c r="H11" i="7" s="1"/>
  <c r="E22" i="7"/>
  <c r="G22" i="7" s="1"/>
  <c r="H22" i="7" s="1"/>
  <c r="E27" i="7"/>
  <c r="G27" i="7" s="1"/>
  <c r="H27" i="7" s="1"/>
  <c r="E37" i="7"/>
  <c r="G37" i="7" s="1"/>
  <c r="H37" i="7" s="1"/>
  <c r="E48" i="7"/>
  <c r="G48" i="7" s="1"/>
  <c r="H48" i="7" s="1"/>
  <c r="E53" i="7"/>
  <c r="G53" i="7" s="1"/>
  <c r="H53" i="7" s="1"/>
  <c r="V9" i="8"/>
  <c r="J39" i="7"/>
  <c r="J9" i="7"/>
  <c r="J51" i="7"/>
  <c r="E17" i="7"/>
  <c r="G17" i="7" s="1"/>
  <c r="H17" i="7" s="1"/>
  <c r="E43" i="7"/>
  <c r="G43" i="7" s="1"/>
  <c r="H43" i="7" s="1"/>
  <c r="E64" i="7"/>
  <c r="G64" i="7" s="1"/>
  <c r="H64" i="7" s="1"/>
  <c r="E70" i="7"/>
  <c r="G70" i="7" s="1"/>
  <c r="H70" i="7" s="1"/>
  <c r="E76" i="7"/>
  <c r="G76" i="7" s="1"/>
  <c r="H76" i="7" s="1"/>
  <c r="J13" i="7"/>
  <c r="E54" i="7"/>
  <c r="G54" i="7" s="1"/>
  <c r="H54" i="7" s="1"/>
  <c r="J35" i="7"/>
  <c r="E18" i="7"/>
  <c r="G18" i="7" s="1"/>
  <c r="H18" i="7" s="1"/>
  <c r="E23" i="7"/>
  <c r="G23" i="7" s="1"/>
  <c r="H23" i="7" s="1"/>
  <c r="E44" i="7"/>
  <c r="G44" i="7" s="1"/>
  <c r="H44" i="7" s="1"/>
  <c r="E49" i="7"/>
  <c r="G49" i="7" s="1"/>
  <c r="H49" i="7" s="1"/>
  <c r="E65" i="7"/>
  <c r="G65" i="7" s="1"/>
  <c r="H65" i="7" s="1"/>
  <c r="E71" i="7"/>
  <c r="G71" i="7" s="1"/>
  <c r="H71" i="7" s="1"/>
  <c r="E77" i="7"/>
  <c r="G77" i="7" s="1"/>
  <c r="H77" i="7" s="1"/>
  <c r="G22" i="9"/>
  <c r="G25" i="9" s="1"/>
  <c r="L14" i="8"/>
  <c r="H15" i="8"/>
  <c r="E16" i="8"/>
  <c r="E9" i="7"/>
  <c r="G9" i="7" s="1"/>
  <c r="H9" i="7" s="1"/>
  <c r="J8" i="7"/>
  <c r="E35" i="7"/>
  <c r="G35" i="7" s="1"/>
  <c r="H35" i="7" s="1"/>
  <c r="J34" i="7"/>
  <c r="G8" i="7"/>
  <c r="H8" i="7" s="1"/>
  <c r="I8" i="7" s="1"/>
  <c r="E12" i="7"/>
  <c r="G12" i="7" s="1"/>
  <c r="H12" i="7" s="1"/>
  <c r="E16" i="7"/>
  <c r="G16" i="7" s="1"/>
  <c r="H16" i="7" s="1"/>
  <c r="E20" i="7"/>
  <c r="G20" i="7" s="1"/>
  <c r="H20" i="7" s="1"/>
  <c r="E24" i="7"/>
  <c r="G24" i="7" s="1"/>
  <c r="H24" i="7" s="1"/>
  <c r="E28" i="7"/>
  <c r="G28" i="7" s="1"/>
  <c r="H28" i="7" s="1"/>
  <c r="G34" i="7"/>
  <c r="H34" i="7" s="1"/>
  <c r="I34" i="7" s="1"/>
  <c r="E38" i="7"/>
  <c r="G38" i="7" s="1"/>
  <c r="H38" i="7" s="1"/>
  <c r="E42" i="7"/>
  <c r="G42" i="7" s="1"/>
  <c r="H42" i="7" s="1"/>
  <c r="E46" i="7"/>
  <c r="G46" i="7" s="1"/>
  <c r="H46" i="7" s="1"/>
  <c r="E50" i="7"/>
  <c r="G50" i="7" s="1"/>
  <c r="H50" i="7" s="1"/>
  <c r="J69" i="7"/>
  <c r="J71" i="7"/>
  <c r="J73" i="7"/>
  <c r="J75" i="7"/>
  <c r="J77" i="7"/>
  <c r="J79" i="7"/>
  <c r="J53" i="7"/>
  <c r="G60" i="7"/>
  <c r="H60" i="7" s="1"/>
  <c r="I60" i="7" s="1"/>
  <c r="J61" i="7"/>
  <c r="J63" i="7"/>
  <c r="J65" i="7"/>
  <c r="J67" i="7"/>
  <c r="J10" i="7"/>
  <c r="J12" i="7"/>
  <c r="J14" i="7"/>
  <c r="J16" i="7"/>
  <c r="J18" i="7"/>
  <c r="J20" i="7"/>
  <c r="J22" i="7"/>
  <c r="J24" i="7"/>
  <c r="J26" i="7"/>
  <c r="J36" i="7"/>
  <c r="J38" i="7"/>
  <c r="J40" i="7"/>
  <c r="J42" i="7"/>
  <c r="J44" i="7"/>
  <c r="J46" i="7"/>
  <c r="J48" i="7"/>
  <c r="J50" i="7"/>
  <c r="J52" i="7"/>
  <c r="J60" i="7"/>
  <c r="J62" i="7"/>
  <c r="J64" i="7"/>
  <c r="J66" i="7"/>
  <c r="J68" i="7"/>
  <c r="J70" i="7"/>
  <c r="J72" i="7"/>
  <c r="J74" i="7"/>
  <c r="J76" i="7"/>
  <c r="J78" i="7"/>
  <c r="L4" i="6"/>
  <c r="C13" i="6"/>
  <c r="C10" i="6"/>
  <c r="C6" i="6"/>
  <c r="C7" i="6" s="1"/>
  <c r="Q2" i="6"/>
  <c r="E2" i="6"/>
  <c r="G26" i="9" l="1"/>
  <c r="G50" i="9"/>
  <c r="G51" i="9" s="1"/>
  <c r="I61" i="7"/>
  <c r="K60" i="7"/>
  <c r="I35" i="7"/>
  <c r="K34" i="7"/>
  <c r="I9" i="7"/>
  <c r="K8" i="7"/>
  <c r="F18" i="5"/>
  <c r="F17" i="5"/>
  <c r="C6" i="5"/>
  <c r="C13" i="5"/>
  <c r="E2" i="5"/>
  <c r="K9" i="7" l="1"/>
  <c r="I10" i="7"/>
  <c r="K35" i="7"/>
  <c r="I36" i="7"/>
  <c r="K61" i="7"/>
  <c r="I62" i="7"/>
  <c r="C7" i="5"/>
  <c r="I63" i="7" l="1"/>
  <c r="K62" i="7"/>
  <c r="I37" i="7"/>
  <c r="K36" i="7"/>
  <c r="I11" i="7"/>
  <c r="K10" i="7"/>
  <c r="Q2" i="5"/>
  <c r="K11" i="7" l="1"/>
  <c r="I12" i="7"/>
  <c r="K37" i="7"/>
  <c r="I38" i="7"/>
  <c r="K63" i="7"/>
  <c r="I64" i="7"/>
  <c r="C10" i="5"/>
  <c r="I65" i="7" l="1"/>
  <c r="K64" i="7"/>
  <c r="I39" i="7"/>
  <c r="K38" i="7"/>
  <c r="I13" i="7"/>
  <c r="K12" i="7"/>
  <c r="K13" i="7" l="1"/>
  <c r="I14" i="7"/>
  <c r="K39" i="7"/>
  <c r="I40" i="7"/>
  <c r="K65" i="7"/>
  <c r="I66" i="7"/>
  <c r="I67" i="7" l="1"/>
  <c r="K66" i="7"/>
  <c r="I41" i="7"/>
  <c r="K40" i="7"/>
  <c r="I15" i="7"/>
  <c r="K14" i="7"/>
  <c r="K15" i="7" l="1"/>
  <c r="I16" i="7"/>
  <c r="K41" i="7"/>
  <c r="I42" i="7"/>
  <c r="K67" i="7"/>
  <c r="I68" i="7"/>
  <c r="I69" i="7" l="1"/>
  <c r="K68" i="7"/>
  <c r="I43" i="7"/>
  <c r="K42" i="7"/>
  <c r="I17" i="7"/>
  <c r="K16" i="7"/>
  <c r="K17" i="7" l="1"/>
  <c r="I18" i="7"/>
  <c r="K43" i="7"/>
  <c r="I44" i="7"/>
  <c r="K69" i="7"/>
  <c r="I70" i="7"/>
  <c r="I71" i="7" l="1"/>
  <c r="K70" i="7"/>
  <c r="I45" i="7"/>
  <c r="K44" i="7"/>
  <c r="I19" i="7"/>
  <c r="K18" i="7"/>
  <c r="K19" i="7" l="1"/>
  <c r="I20" i="7"/>
  <c r="K45" i="7"/>
  <c r="I46" i="7"/>
  <c r="K71" i="7"/>
  <c r="I72" i="7"/>
  <c r="I73" i="7" l="1"/>
  <c r="K72" i="7"/>
  <c r="I47" i="7"/>
  <c r="K46" i="7"/>
  <c r="I21" i="7"/>
  <c r="K20" i="7"/>
  <c r="K21" i="7" l="1"/>
  <c r="I22" i="7"/>
  <c r="K47" i="7"/>
  <c r="I48" i="7"/>
  <c r="K73" i="7"/>
  <c r="I74" i="7"/>
  <c r="I75" i="7" l="1"/>
  <c r="K74" i="7"/>
  <c r="I49" i="7"/>
  <c r="K48" i="7"/>
  <c r="I23" i="7"/>
  <c r="K22" i="7"/>
  <c r="K23" i="7" l="1"/>
  <c r="I24" i="7"/>
  <c r="K49" i="7"/>
  <c r="I50" i="7"/>
  <c r="K75" i="7"/>
  <c r="I76" i="7"/>
  <c r="I77" i="7" l="1"/>
  <c r="K76" i="7"/>
  <c r="I51" i="7"/>
  <c r="K50" i="7"/>
  <c r="I25" i="7"/>
  <c r="K24" i="7"/>
  <c r="K25" i="7" l="1"/>
  <c r="I26" i="7"/>
  <c r="K51" i="7"/>
  <c r="I52" i="7"/>
  <c r="K77" i="7"/>
  <c r="I78" i="7"/>
  <c r="I79" i="7" l="1"/>
  <c r="K78" i="7"/>
  <c r="I53" i="7"/>
  <c r="K52" i="7"/>
  <c r="I27" i="7"/>
  <c r="K26" i="7"/>
  <c r="K27" i="7" l="1"/>
  <c r="I28" i="7"/>
  <c r="K28" i="7" s="1"/>
  <c r="K53" i="7"/>
  <c r="I54" i="7"/>
  <c r="K54" i="7" s="1"/>
  <c r="K79" i="7"/>
  <c r="I80" i="7"/>
  <c r="K80" i="7" s="1"/>
</calcChain>
</file>

<file path=xl/comments1.xml><?xml version="1.0" encoding="utf-8"?>
<comments xmlns="http://schemas.openxmlformats.org/spreadsheetml/2006/main">
  <authors>
    <author xml:space="preserve"> </author>
  </authors>
  <commentList>
    <comment ref="C10" authorId="0" shapeId="0">
      <text>
        <r>
          <rPr>
            <b/>
            <u/>
            <sz val="10"/>
            <color indexed="81"/>
            <rFont val="Arial"/>
            <family val="2"/>
          </rPr>
          <t>Wall Displacement Required to Develop Active and Passive Conditions</t>
        </r>
        <r>
          <rPr>
            <b/>
            <sz val="10"/>
            <color indexed="81"/>
            <rFont val="Arial"/>
            <family val="2"/>
          </rPr>
          <t xml:space="preserve">
</t>
        </r>
        <r>
          <rPr>
            <u/>
            <sz val="10"/>
            <color indexed="81"/>
            <rFont val="Arial"/>
            <family val="2"/>
          </rPr>
          <t>Soil Type and Condition</t>
        </r>
        <r>
          <rPr>
            <sz val="10"/>
            <color indexed="81"/>
            <rFont val="Arial"/>
            <family val="2"/>
          </rPr>
          <t xml:space="preserve">     </t>
        </r>
        <r>
          <rPr>
            <u/>
            <sz val="10"/>
            <color indexed="81"/>
            <rFont val="Symbol"/>
            <family val="1"/>
            <charset val="2"/>
          </rPr>
          <t>D</t>
        </r>
        <r>
          <rPr>
            <u/>
            <sz val="10"/>
            <color indexed="81"/>
            <rFont val="Arial"/>
            <family val="2"/>
          </rPr>
          <t>/H for Active State</t>
        </r>
        <r>
          <rPr>
            <sz val="10"/>
            <color indexed="81"/>
            <rFont val="Arial"/>
            <family val="2"/>
          </rPr>
          <t xml:space="preserve">     </t>
        </r>
        <r>
          <rPr>
            <u/>
            <sz val="10"/>
            <color indexed="81"/>
            <rFont val="Symbol"/>
            <family val="1"/>
            <charset val="2"/>
          </rPr>
          <t>D</t>
        </r>
        <r>
          <rPr>
            <u/>
            <sz val="10"/>
            <color indexed="81"/>
            <rFont val="Arial"/>
            <family val="2"/>
          </rPr>
          <t>/H for Passive State</t>
        </r>
        <r>
          <rPr>
            <sz val="10"/>
            <color indexed="81"/>
            <rFont val="Arial"/>
            <family val="2"/>
          </rPr>
          <t xml:space="preserve">
       Dense Sand                        0.0005                         0.002
       Loose Sand                         0.002                          0.006
         Stiff Clay                             0.01                           0.02
         Soft Clay                             0.02                           0.04
where: </t>
        </r>
        <r>
          <rPr>
            <sz val="10"/>
            <color indexed="81"/>
            <rFont val="Symbol"/>
            <family val="1"/>
            <charset val="2"/>
          </rPr>
          <t>D</t>
        </r>
        <r>
          <rPr>
            <sz val="10"/>
            <color indexed="81"/>
            <rFont val="Arial"/>
            <family val="2"/>
          </rPr>
          <t xml:space="preserve"> = horizontal displacement of wall
           H =  height of wall
Reference: NAVFAC DM 7-02 Manual (1986)</t>
        </r>
      </text>
    </comment>
  </commentList>
</comments>
</file>

<file path=xl/sharedStrings.xml><?xml version="1.0" encoding="utf-8"?>
<sst xmlns="http://schemas.openxmlformats.org/spreadsheetml/2006/main" count="442" uniqueCount="238">
  <si>
    <t>cm</t>
  </si>
  <si>
    <t>=</t>
  </si>
  <si>
    <t>Diameter of Pile, D</t>
  </si>
  <si>
    <t>Length of Pile, L</t>
  </si>
  <si>
    <t>m</t>
  </si>
  <si>
    <t>1kN=</t>
  </si>
  <si>
    <t>Kip</t>
  </si>
  <si>
    <t>kN</t>
  </si>
  <si>
    <t>Total Reaction (DL+LL)</t>
  </si>
  <si>
    <t>Number of Pile Required</t>
  </si>
  <si>
    <t>Pile Distance from Edge</t>
  </si>
  <si>
    <t>inch</t>
  </si>
  <si>
    <t>Pile Spacing</t>
  </si>
  <si>
    <t>PSI</t>
  </si>
  <si>
    <t>MPA</t>
  </si>
  <si>
    <t>Load with Pile Cap (Add 10% to 20%)</t>
  </si>
  <si>
    <t>(Calculated From Soil Report using skin friction &amp; pile length)</t>
  </si>
  <si>
    <r>
      <t xml:space="preserve">Capacity of Pile, </t>
    </r>
    <r>
      <rPr>
        <b/>
        <sz val="16"/>
        <color theme="1"/>
        <rFont val="Times New Roman"/>
        <family val="1"/>
      </rPr>
      <t>P</t>
    </r>
  </si>
  <si>
    <t>Range(1φ-1.25φ)</t>
  </si>
  <si>
    <t>Range(2.5φ-3.0φ)</t>
  </si>
  <si>
    <t>MM</t>
  </si>
  <si>
    <t>ft</t>
  </si>
  <si>
    <t>1Ton=</t>
  </si>
  <si>
    <t>kip</t>
  </si>
  <si>
    <t>KIP</t>
  </si>
  <si>
    <t>PILE CAPACITY CALCULATION</t>
  </si>
  <si>
    <t>Dia of Pile=</t>
  </si>
  <si>
    <t>in</t>
  </si>
  <si>
    <t>Sl No of Bore Hole:</t>
  </si>
  <si>
    <t>F.S. =</t>
  </si>
  <si>
    <t>Depth</t>
  </si>
  <si>
    <t>Cum Depth</t>
  </si>
  <si>
    <t>S.P.T. Value</t>
  </si>
  <si>
    <t>Corrected S.P.T. Value, N-(N-15)/2</t>
  </si>
  <si>
    <t>Average S.P.T.</t>
  </si>
  <si>
    <t>Surface Area in Pile (sft)</t>
  </si>
  <si>
    <t>Allowable Skin Friction, Qa = 0.02N/F.S. (Tsf)</t>
  </si>
  <si>
    <t>Total Allowable Skin Friction, (Ton)</t>
  </si>
  <si>
    <t>Cum Skin Friction, (Ton)</t>
  </si>
  <si>
    <t>Allowable  End Bearing Capacity, Qa = 4N/F.S.</t>
  </si>
  <si>
    <t>Allowable working Load (Ton)</t>
  </si>
  <si>
    <t xml:space="preserve">Footing Pile Cap Design </t>
  </si>
  <si>
    <t>Project :</t>
  </si>
  <si>
    <t>Footing Number :</t>
  </si>
  <si>
    <t>Engineer :</t>
  </si>
  <si>
    <t>Date :</t>
  </si>
  <si>
    <t>1.Input Data</t>
  </si>
  <si>
    <t>SI-Units</t>
  </si>
  <si>
    <t>FPS-Units</t>
  </si>
  <si>
    <t>5.Pile Arrangement</t>
  </si>
  <si>
    <t>Type of Pile cap Footing can be used in this sheet</t>
  </si>
  <si>
    <t>Column. width (b)</t>
  </si>
  <si>
    <t>Required No. of Piles =</t>
  </si>
  <si>
    <t>Y</t>
  </si>
  <si>
    <t>Column. depth (h)</t>
  </si>
  <si>
    <t>Use number of total pile =</t>
  </si>
  <si>
    <t>2.Material Properties</t>
  </si>
  <si>
    <t>X - direction</t>
  </si>
  <si>
    <t>Y - direction</t>
  </si>
  <si>
    <t>number of row</t>
  </si>
  <si>
    <t>number of column</t>
  </si>
  <si>
    <t>X</t>
  </si>
  <si>
    <t>number of pile on each row</t>
  </si>
  <si>
    <t>number of pile on each column</t>
  </si>
  <si>
    <t>Rebar</t>
  </si>
  <si>
    <t>fy</t>
  </si>
  <si>
    <t>Mpa</t>
  </si>
  <si>
    <t>ksi</t>
  </si>
  <si>
    <t xml:space="preserve">spacing between pile </t>
  </si>
  <si>
    <t>spacing at edge of footing</t>
  </si>
  <si>
    <t>Concrete</t>
  </si>
  <si>
    <t>fc'</t>
  </si>
  <si>
    <t>total length</t>
  </si>
  <si>
    <t>total width</t>
  </si>
  <si>
    <t>dx-1</t>
  </si>
  <si>
    <t>dy-1</t>
  </si>
  <si>
    <t>dx-2</t>
  </si>
  <si>
    <t>dy-2</t>
  </si>
  <si>
    <t>Modulus of Elasticity steel bars (Es)   =</t>
  </si>
  <si>
    <t>Modulus of Elasticity of Concrete (Ec)  =</t>
  </si>
  <si>
    <t>n</t>
  </si>
  <si>
    <t>3.Pile data (From Geo-Technical Report)</t>
  </si>
  <si>
    <t>Pile diameter/width (D)</t>
  </si>
  <si>
    <t>safe load of pile (Capacity)</t>
  </si>
  <si>
    <t>KN</t>
  </si>
  <si>
    <t>length  of Pile (L)</t>
  </si>
  <si>
    <t>4.Loadind Data</t>
  </si>
  <si>
    <t>Axial Load (Px)</t>
  </si>
  <si>
    <t>Axial Load (Py)</t>
  </si>
  <si>
    <t>Axial Load (Pz)</t>
  </si>
  <si>
    <t>Mx</t>
  </si>
  <si>
    <t>KN-m</t>
  </si>
  <si>
    <t>Kip-ft</t>
  </si>
  <si>
    <t>My</t>
  </si>
  <si>
    <t>Mz</t>
  </si>
  <si>
    <t>4. Spring Constant or Point Spring (Kv)</t>
  </si>
  <si>
    <t>Area of Cross Section of Pile (A)</t>
  </si>
  <si>
    <r>
      <t>m</t>
    </r>
    <r>
      <rPr>
        <vertAlign val="superscript"/>
        <sz val="14"/>
        <rFont val="Angsana New"/>
      </rPr>
      <t>2</t>
    </r>
  </si>
  <si>
    <r>
      <t>in</t>
    </r>
    <r>
      <rPr>
        <vertAlign val="superscript"/>
        <sz val="14"/>
        <rFont val="Angsana New"/>
      </rPr>
      <t>2</t>
    </r>
  </si>
  <si>
    <t>Spring Constant (K=(EA/L)  =</t>
  </si>
  <si>
    <t>KN/m</t>
  </si>
  <si>
    <t>kip/in</t>
  </si>
  <si>
    <t>Remarks</t>
  </si>
  <si>
    <t xml:space="preserve">Download </t>
  </si>
  <si>
    <t xml:space="preserve">"dx" is the distance from the center of pile to the X-axis (parallel ot Y-axis) </t>
  </si>
  <si>
    <t xml:space="preserve">"dy" is the distance from the center of pile to the Y-axis (parallel ot X-axis) </t>
  </si>
  <si>
    <t>"d at X-dir" is the distance from the center of pile to the critical section on X-axis</t>
  </si>
  <si>
    <t>"d at Y-dir" is the distance from the center of pile to the critical section on Y-axis</t>
  </si>
  <si>
    <t>if d at X-dir or Y-dir are negative sign, it means that the pile is located inside the critical section</t>
  </si>
  <si>
    <t>www.civilmdc.com</t>
  </si>
  <si>
    <t>in other words, positive means outside</t>
  </si>
  <si>
    <t>"arm X-dir" is distance in Y-dir to be induced moment about X-axis or Mx</t>
  </si>
  <si>
    <t>"arm Y-dir" is distance in X-dir to be induced moment about Y-axis or My</t>
  </si>
  <si>
    <t>reinforcement in X-dir must be determined by "My" and bar arrangement is located in X-dir</t>
  </si>
  <si>
    <t>reinforcement in Y-dir must be determined by "Mx" and bar arrangement is located in Y-dir</t>
  </si>
  <si>
    <t xml:space="preserve">input moment "Mx" have to be located in X-dir and always have greater values than "My" </t>
  </si>
  <si>
    <t xml:space="preserve">when "actual distance" in subject "checking shear" is input, the "sign of the distance have to be check and input follow the "actual value" </t>
  </si>
  <si>
    <t>Input Data:</t>
  </si>
  <si>
    <t>Wall Height, H =</t>
  </si>
  <si>
    <t>ft.</t>
  </si>
  <si>
    <t>Φ</t>
  </si>
  <si>
    <r>
      <t>Depth to GWT, H</t>
    </r>
    <r>
      <rPr>
        <sz val="8"/>
        <rFont val="Arial"/>
        <family val="2"/>
      </rPr>
      <t>1</t>
    </r>
    <r>
      <rPr>
        <sz val="16"/>
        <color theme="1"/>
        <rFont val="AngsanaUPC"/>
        <family val="2"/>
      </rPr>
      <t xml:space="preserve"> =</t>
    </r>
  </si>
  <si>
    <r>
      <t xml:space="preserve">Soil Dry Unit Wt., </t>
    </r>
    <r>
      <rPr>
        <sz val="10"/>
        <color indexed="8"/>
        <rFont val="Symbol"/>
        <family val="1"/>
        <charset val="2"/>
      </rPr>
      <t>g</t>
    </r>
    <r>
      <rPr>
        <sz val="8"/>
        <color indexed="8"/>
        <rFont val="Arial"/>
        <family val="2"/>
      </rPr>
      <t>s</t>
    </r>
    <r>
      <rPr>
        <sz val="10"/>
        <color indexed="8"/>
        <rFont val="Arial"/>
        <family val="2"/>
      </rPr>
      <t xml:space="preserve"> =</t>
    </r>
  </si>
  <si>
    <t>kcf</t>
  </si>
  <si>
    <r>
      <t xml:space="preserve">Soil Sat. Unit Wt., </t>
    </r>
    <r>
      <rPr>
        <sz val="10"/>
        <color indexed="8"/>
        <rFont val="Symbol"/>
        <family val="1"/>
        <charset val="2"/>
      </rPr>
      <t>g</t>
    </r>
    <r>
      <rPr>
        <sz val="8"/>
        <color indexed="8"/>
        <rFont val="Arial"/>
        <family val="2"/>
      </rPr>
      <t>(sat)</t>
    </r>
    <r>
      <rPr>
        <sz val="10"/>
        <color indexed="8"/>
        <rFont val="Arial"/>
        <family val="2"/>
      </rPr>
      <t xml:space="preserve"> =</t>
    </r>
  </si>
  <si>
    <r>
      <t xml:space="preserve">Soil Friction Angle, </t>
    </r>
    <r>
      <rPr>
        <sz val="10"/>
        <color indexed="8"/>
        <rFont val="Symbol"/>
        <family val="1"/>
        <charset val="2"/>
      </rPr>
      <t>f</t>
    </r>
    <r>
      <rPr>
        <sz val="10"/>
        <color indexed="8"/>
        <rFont val="Arial"/>
        <family val="2"/>
      </rPr>
      <t>1 =</t>
    </r>
  </si>
  <si>
    <t>deg.</t>
  </si>
  <si>
    <r>
      <t xml:space="preserve">Soil Friction Angle, </t>
    </r>
    <r>
      <rPr>
        <sz val="10"/>
        <color indexed="8"/>
        <rFont val="Symbol"/>
        <family val="1"/>
        <charset val="2"/>
      </rPr>
      <t>f</t>
    </r>
    <r>
      <rPr>
        <sz val="10"/>
        <color indexed="8"/>
        <rFont val="Arial"/>
        <family val="2"/>
      </rPr>
      <t>2 =</t>
    </r>
  </si>
  <si>
    <t>Active or At-Rest Cond.?</t>
  </si>
  <si>
    <t>At-Rest</t>
  </si>
  <si>
    <t>Surcharge Load, Q =</t>
  </si>
  <si>
    <t>ksf</t>
  </si>
  <si>
    <t>Water unit wt. Yw=</t>
  </si>
  <si>
    <t>kN/m3</t>
  </si>
  <si>
    <t>Soil unit wt. Ys=</t>
  </si>
  <si>
    <t>Surcharge Load, Qa =</t>
  </si>
  <si>
    <t>Height of water, Hw=</t>
  </si>
  <si>
    <t>Height of wall side soil, Hs=</t>
  </si>
  <si>
    <t>Angle of Friction,Ɵ</t>
  </si>
  <si>
    <t>degree</t>
  </si>
  <si>
    <t>sinƟ</t>
  </si>
  <si>
    <t>rankin Co-efficient for active soil pressure, ks=</t>
  </si>
  <si>
    <t>rankin Co-efficient for soil pressure for surcharge load, ko=</t>
  </si>
  <si>
    <t>Water pressure at bottom, Pw=yw*hw</t>
  </si>
  <si>
    <t>kN/m2</t>
  </si>
  <si>
    <t>Soil pressure at bottom, Ps1=Ks*Ys*Hs</t>
  </si>
  <si>
    <t>Surcharge pressure at bottom, Ps2=ko*qa</t>
  </si>
  <si>
    <t>Total Pressure for case2=</t>
  </si>
  <si>
    <t>For Etabs Non Uniform pressure,</t>
  </si>
  <si>
    <t>P=Ax+By+Cz+D</t>
  </si>
  <si>
    <t>x=</t>
  </si>
  <si>
    <t>y=</t>
  </si>
  <si>
    <t>P=</t>
  </si>
  <si>
    <t>Cz+D</t>
  </si>
  <si>
    <t>say=</t>
  </si>
  <si>
    <t>For water pressure, case-1</t>
  </si>
  <si>
    <t>C=</t>
  </si>
  <si>
    <t>At, Z=</t>
  </si>
  <si>
    <t>Pressure=</t>
  </si>
  <si>
    <t>KN/m2</t>
  </si>
  <si>
    <t>D=</t>
  </si>
  <si>
    <t>For water pressure, case-2</t>
  </si>
  <si>
    <t xml:space="preserve">Loads: </t>
  </si>
  <si>
    <t>Earth Pressure=</t>
  </si>
  <si>
    <t>Water Pressure=</t>
  </si>
  <si>
    <t>WP</t>
  </si>
  <si>
    <t>Dead Load=</t>
  </si>
  <si>
    <t>DL</t>
  </si>
  <si>
    <t>SP</t>
  </si>
  <si>
    <t>Soil Pressure=</t>
  </si>
  <si>
    <t>Combination:</t>
  </si>
  <si>
    <t>DL (1)+WP (1)</t>
  </si>
  <si>
    <t>WP-service=</t>
  </si>
  <si>
    <t>WP (1)</t>
  </si>
  <si>
    <t>WP (ult)=</t>
  </si>
  <si>
    <t>WP (1.6)</t>
  </si>
  <si>
    <t>SP-service=</t>
  </si>
  <si>
    <t>SP (1)</t>
  </si>
  <si>
    <t>SP (ult)=</t>
  </si>
  <si>
    <t>SP (1.6)</t>
  </si>
  <si>
    <t>check for deflection:</t>
  </si>
  <si>
    <t>allowable wall deflection=</t>
  </si>
  <si>
    <t>height of the wall/100</t>
  </si>
  <si>
    <t>Project    :</t>
  </si>
  <si>
    <t>Metro Manila Skyway Project</t>
  </si>
  <si>
    <t>Location  :</t>
  </si>
  <si>
    <t>Amorsolo Creek Cover, Makati City</t>
  </si>
  <si>
    <t>Designer :</t>
  </si>
  <si>
    <t>Computation of Spring Constants for Piles , Ks :</t>
  </si>
  <si>
    <r>
      <t xml:space="preserve">  K</t>
    </r>
    <r>
      <rPr>
        <vertAlign val="subscript"/>
        <sz val="10"/>
        <rFont val="Arial Narrow"/>
        <family val="2"/>
      </rPr>
      <t>s</t>
    </r>
    <r>
      <rPr>
        <sz val="10"/>
        <rFont val="Arial Narrow"/>
        <family val="2"/>
      </rPr>
      <t xml:space="preserve"> = A</t>
    </r>
    <r>
      <rPr>
        <vertAlign val="subscript"/>
        <sz val="10"/>
        <rFont val="Arial Narrow"/>
        <family val="2"/>
      </rPr>
      <t xml:space="preserve">s </t>
    </r>
    <r>
      <rPr>
        <sz val="10"/>
        <rFont val="Arial Narrow"/>
        <family val="2"/>
      </rPr>
      <t>+ B</t>
    </r>
    <r>
      <rPr>
        <vertAlign val="subscript"/>
        <sz val="10"/>
        <rFont val="Arial Narrow"/>
        <family val="2"/>
      </rPr>
      <t>s</t>
    </r>
    <r>
      <rPr>
        <sz val="10"/>
        <rFont val="Arial Narrow"/>
        <family val="2"/>
      </rPr>
      <t xml:space="preserve"> Z </t>
    </r>
    <r>
      <rPr>
        <vertAlign val="superscript"/>
        <sz val="10"/>
        <rFont val="Arial Narrow"/>
        <family val="2"/>
      </rPr>
      <t>1</t>
    </r>
  </si>
  <si>
    <t>Spring Constant  = Ks B H</t>
  </si>
  <si>
    <t>where :</t>
  </si>
  <si>
    <r>
      <t>A</t>
    </r>
    <r>
      <rPr>
        <vertAlign val="subscript"/>
        <sz val="10"/>
        <rFont val="Arial Narrow"/>
        <family val="2"/>
      </rPr>
      <t>s</t>
    </r>
    <r>
      <rPr>
        <sz val="10"/>
        <rFont val="Arial Narrow"/>
        <family val="2"/>
      </rPr>
      <t xml:space="preserve"> = C ( cN</t>
    </r>
    <r>
      <rPr>
        <vertAlign val="subscript"/>
        <sz val="10"/>
        <rFont val="Arial Narrow"/>
        <family val="2"/>
      </rPr>
      <t>c</t>
    </r>
    <r>
      <rPr>
        <sz val="10"/>
        <rFont val="Arial Narrow"/>
        <family val="2"/>
      </rPr>
      <t xml:space="preserve"> + 0.5 </t>
    </r>
    <r>
      <rPr>
        <sz val="10"/>
        <rFont val="Symbol"/>
        <family val="1"/>
        <charset val="2"/>
      </rPr>
      <t xml:space="preserve">g </t>
    </r>
    <r>
      <rPr>
        <sz val="10"/>
        <rFont val="Arial Narrow"/>
        <family val="2"/>
      </rPr>
      <t>B N</t>
    </r>
    <r>
      <rPr>
        <vertAlign val="subscript"/>
        <sz val="10"/>
        <rFont val="Symbol"/>
        <family val="1"/>
        <charset val="2"/>
      </rPr>
      <t>g</t>
    </r>
    <r>
      <rPr>
        <sz val="10"/>
        <rFont val="Arial Narrow"/>
        <family val="2"/>
      </rPr>
      <t>)</t>
    </r>
  </si>
  <si>
    <t>For Rock :</t>
  </si>
  <si>
    <t>Pile Diameter, B   =</t>
  </si>
  <si>
    <r>
      <t>B</t>
    </r>
    <r>
      <rPr>
        <vertAlign val="subscript"/>
        <sz val="10"/>
        <rFont val="Arial Narrow"/>
        <family val="2"/>
      </rPr>
      <t>s</t>
    </r>
    <r>
      <rPr>
        <sz val="10"/>
        <rFont val="Arial Narrow"/>
        <family val="2"/>
      </rPr>
      <t xml:space="preserve"> = C ( </t>
    </r>
    <r>
      <rPr>
        <sz val="10"/>
        <rFont val="Symbol"/>
        <family val="1"/>
        <charset val="2"/>
      </rPr>
      <t xml:space="preserve">g </t>
    </r>
    <r>
      <rPr>
        <sz val="10"/>
        <rFont val="Arial Narrow"/>
        <family val="2"/>
      </rPr>
      <t>x N</t>
    </r>
    <r>
      <rPr>
        <vertAlign val="subscript"/>
        <sz val="10"/>
        <rFont val="Arial Narrow"/>
        <family val="2"/>
      </rPr>
      <t>q</t>
    </r>
    <r>
      <rPr>
        <sz val="10"/>
        <rFont val="Arial Narrow"/>
        <family val="2"/>
      </rPr>
      <t>)xZ</t>
    </r>
    <r>
      <rPr>
        <vertAlign val="superscript"/>
        <sz val="10"/>
        <rFont val="Arial Narrow"/>
        <family val="2"/>
      </rPr>
      <t xml:space="preserve">1   </t>
    </r>
  </si>
  <si>
    <r>
      <t>= C q N</t>
    </r>
    <r>
      <rPr>
        <vertAlign val="subscript"/>
        <sz val="10"/>
        <rFont val="Arial Narrow"/>
        <family val="2"/>
      </rPr>
      <t>q</t>
    </r>
  </si>
  <si>
    <r>
      <t>A</t>
    </r>
    <r>
      <rPr>
        <vertAlign val="subscript"/>
        <sz val="10"/>
        <rFont val="Arial Narrow"/>
        <family val="2"/>
      </rPr>
      <t>s</t>
    </r>
    <r>
      <rPr>
        <sz val="10"/>
        <rFont val="Arial Narrow"/>
        <family val="2"/>
      </rPr>
      <t xml:space="preserve"> = 80 x S.F. x q</t>
    </r>
    <r>
      <rPr>
        <vertAlign val="subscript"/>
        <sz val="10"/>
        <rFont val="Arial Narrow"/>
        <family val="2"/>
      </rPr>
      <t>a</t>
    </r>
  </si>
  <si>
    <t>C =80</t>
  </si>
  <si>
    <t xml:space="preserve">S.F.= </t>
  </si>
  <si>
    <t xml:space="preserve">   Note   :</t>
  </si>
  <si>
    <t>Units in S.I., i.e. KN-m.</t>
  </si>
  <si>
    <r>
      <t>q</t>
    </r>
    <r>
      <rPr>
        <vertAlign val="subscript"/>
        <sz val="10"/>
        <rFont val="Arial Narrow"/>
        <family val="2"/>
      </rPr>
      <t>a</t>
    </r>
    <r>
      <rPr>
        <sz val="10"/>
        <rFont val="Arial Narrow"/>
        <family val="2"/>
      </rPr>
      <t xml:space="preserve"> =</t>
    </r>
  </si>
  <si>
    <t>KPa</t>
  </si>
  <si>
    <t>VALUES FOR BH-1</t>
  </si>
  <si>
    <r>
      <t>K</t>
    </r>
    <r>
      <rPr>
        <vertAlign val="subscript"/>
        <sz val="8"/>
        <rFont val="Arial Narrow"/>
        <family val="2"/>
      </rPr>
      <t>s</t>
    </r>
  </si>
  <si>
    <t>Spring Constant</t>
  </si>
  <si>
    <t>f</t>
  </si>
  <si>
    <r>
      <t>N</t>
    </r>
    <r>
      <rPr>
        <vertAlign val="subscript"/>
        <sz val="10"/>
        <rFont val="Arial"/>
        <family val="2"/>
      </rPr>
      <t>c</t>
    </r>
  </si>
  <si>
    <r>
      <t>N</t>
    </r>
    <r>
      <rPr>
        <vertAlign val="subscript"/>
        <sz val="10"/>
        <rFont val="Symbol"/>
        <family val="1"/>
        <charset val="2"/>
      </rPr>
      <t>g</t>
    </r>
  </si>
  <si>
    <r>
      <t>N</t>
    </r>
    <r>
      <rPr>
        <vertAlign val="subscript"/>
        <sz val="10"/>
        <rFont val="Arial Narrow"/>
        <family val="2"/>
      </rPr>
      <t>q</t>
    </r>
  </si>
  <si>
    <t>Depth (z)</t>
  </si>
  <si>
    <t>c</t>
  </si>
  <si>
    <r>
      <t>A</t>
    </r>
    <r>
      <rPr>
        <vertAlign val="subscript"/>
        <sz val="10"/>
        <rFont val="Arial"/>
        <family val="2"/>
      </rPr>
      <t>s</t>
    </r>
  </si>
  <si>
    <r>
      <t>g</t>
    </r>
    <r>
      <rPr>
        <vertAlign val="subscript"/>
        <sz val="10"/>
        <rFont val="Arial"/>
        <family val="2"/>
      </rPr>
      <t>s</t>
    </r>
  </si>
  <si>
    <t>H</t>
  </si>
  <si>
    <t>q</t>
  </si>
  <si>
    <r>
      <t>B</t>
    </r>
    <r>
      <rPr>
        <vertAlign val="subscript"/>
        <sz val="10"/>
        <rFont val="Arial Narrow"/>
        <family val="2"/>
      </rPr>
      <t>s</t>
    </r>
  </si>
  <si>
    <r>
      <t>in KN/m</t>
    </r>
    <r>
      <rPr>
        <vertAlign val="superscript"/>
        <sz val="9"/>
        <rFont val="Arial Narrow"/>
        <family val="2"/>
      </rPr>
      <t>3</t>
    </r>
  </si>
  <si>
    <t>in KN/m</t>
  </si>
  <si>
    <t>o</t>
  </si>
  <si>
    <t>Ref. "Foundation Analysis &amp; Design by Joseph E. Bowles</t>
  </si>
  <si>
    <t xml:space="preserve">        See Eq. 9-9, 9-10 &amp; 9-10a on pg. 504 and Eq. 16-25 on pg. 933</t>
  </si>
  <si>
    <t>Where:</t>
  </si>
  <si>
    <t>As</t>
  </si>
  <si>
    <t>constant for either horizontal or vertical members</t>
  </si>
  <si>
    <t>Bs</t>
  </si>
  <si>
    <t>coefficient for depth variation</t>
  </si>
  <si>
    <t>z</t>
  </si>
  <si>
    <t>depth of interest below ground</t>
  </si>
  <si>
    <t>exponent to give Ks the best fit(if load test or other data are available)</t>
  </si>
  <si>
    <r>
      <t>cohesion of soil or s</t>
    </r>
    <r>
      <rPr>
        <vertAlign val="subscript"/>
        <sz val="10"/>
        <rFont val="Arial"/>
        <family val="2"/>
      </rPr>
      <t>u</t>
    </r>
  </si>
  <si>
    <r>
      <t>N</t>
    </r>
    <r>
      <rPr>
        <vertAlign val="subscript"/>
        <sz val="10"/>
        <rFont val="Arial"/>
        <family val="2"/>
      </rPr>
      <t>c</t>
    </r>
    <r>
      <rPr>
        <sz val="10"/>
        <rFont val="Arial"/>
      </rPr>
      <t>,N</t>
    </r>
    <r>
      <rPr>
        <vertAlign val="subscript"/>
        <sz val="10"/>
        <rFont val="Symbol"/>
        <family val="1"/>
        <charset val="2"/>
      </rPr>
      <t>g,</t>
    </r>
    <r>
      <rPr>
        <sz val="10"/>
        <rFont val="Arial"/>
        <family val="2"/>
      </rPr>
      <t>N</t>
    </r>
    <r>
      <rPr>
        <vertAlign val="subscript"/>
        <sz val="10"/>
        <rFont val="Arial"/>
        <family val="2"/>
      </rPr>
      <t>q</t>
    </r>
  </si>
  <si>
    <t>bearing capacity factors, Table 4-4, p.223</t>
  </si>
  <si>
    <t>unit weight of soil</t>
  </si>
  <si>
    <t>stratum thickness</t>
  </si>
  <si>
    <r>
      <t>overburden pressure</t>
    </r>
    <r>
      <rPr>
        <sz val="10"/>
        <rFont val="Symbol"/>
        <family val="1"/>
        <charset val="2"/>
      </rPr>
      <t xml:space="preserve"> = g</t>
    </r>
    <r>
      <rPr>
        <vertAlign val="subscript"/>
        <sz val="10"/>
        <rFont val="Arial"/>
        <family val="2"/>
      </rPr>
      <t xml:space="preserve">s </t>
    </r>
    <r>
      <rPr>
        <sz val="10"/>
        <rFont val="Arial"/>
        <family val="2"/>
      </rPr>
      <t>z</t>
    </r>
  </si>
  <si>
    <t>angle of internal friction, Table 2-6 p.108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</si>
</sst>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quot;φ&quot;"/>
    <numFmt numFmtId="165" formatCode="0.00&quot;φ&quot;"/>
    <numFmt numFmtId="166" formatCode="0.000"/>
    <numFmt numFmtId="167" formatCode="0.0"/>
    <numFmt numFmtId="168" formatCode="#,##0.0000"/>
    <numFmt numFmtId="169" formatCode="0.00&quot; m.&quot;"/>
  </numFmts>
  <fonts count="59">
    <font>
      <sz val="16"/>
      <color theme="1"/>
      <name val="AngsanaUPC"/>
      <family val="2"/>
    </font>
    <font>
      <sz val="16"/>
      <name val="Times New Roman"/>
      <family val="1"/>
    </font>
    <font>
      <sz val="16"/>
      <color rgb="FFFF0000"/>
      <name val="Times New Roman"/>
      <family val="1"/>
    </font>
    <font>
      <sz val="16"/>
      <color theme="1"/>
      <name val="Times New Roman"/>
      <family val="1"/>
    </font>
    <font>
      <b/>
      <sz val="16"/>
      <color theme="1"/>
      <name val="Times New Roman"/>
      <family val="1"/>
    </font>
    <font>
      <b/>
      <u/>
      <sz val="16"/>
      <color theme="1"/>
      <name val="Times New Roman"/>
      <family val="1"/>
    </font>
    <font>
      <sz val="14"/>
      <color theme="1"/>
      <name val="Times New Roman"/>
      <family val="1"/>
    </font>
    <font>
      <b/>
      <sz val="14"/>
      <color theme="1"/>
      <name val="Times New Roman"/>
      <family val="1"/>
    </font>
    <font>
      <b/>
      <sz val="14"/>
      <color rgb="FFFF0000"/>
      <name val="Times New Roman"/>
      <family val="1"/>
    </font>
    <font>
      <sz val="14"/>
      <color rgb="FFFF0000"/>
      <name val="Times New Roman"/>
      <family val="1"/>
    </font>
    <font>
      <sz val="14"/>
      <name val="Times New Roman"/>
      <family val="1"/>
    </font>
    <font>
      <b/>
      <sz val="14"/>
      <name val="Times New Roman"/>
      <family val="1"/>
    </font>
    <font>
      <b/>
      <u/>
      <sz val="22"/>
      <color rgb="FFFF0000"/>
      <name val="Angsana New"/>
    </font>
    <font>
      <sz val="11"/>
      <name val="Calibri"/>
      <family val="2"/>
    </font>
    <font>
      <sz val="14"/>
      <name val="Angsana New"/>
    </font>
    <font>
      <b/>
      <u/>
      <sz val="16"/>
      <color rgb="FF0000FF"/>
      <name val="Angsana New"/>
    </font>
    <font>
      <b/>
      <u/>
      <sz val="16"/>
      <color rgb="FFFF0000"/>
      <name val="Angsana New"/>
    </font>
    <font>
      <b/>
      <u/>
      <sz val="14"/>
      <name val="Angsana New"/>
    </font>
    <font>
      <b/>
      <sz val="14"/>
      <name val="Angsana New"/>
    </font>
    <font>
      <b/>
      <u/>
      <sz val="14"/>
      <color rgb="FFFF0000"/>
      <name val="Angsana New"/>
    </font>
    <font>
      <sz val="14"/>
      <color rgb="FFFFFFFF"/>
      <name val="Angsana New"/>
    </font>
    <font>
      <sz val="12"/>
      <name val="Angsana New"/>
    </font>
    <font>
      <vertAlign val="superscript"/>
      <sz val="14"/>
      <name val="Angsana New"/>
    </font>
    <font>
      <sz val="24"/>
      <name val="Angsana New"/>
    </font>
    <font>
      <u/>
      <sz val="18"/>
      <color rgb="FF0563C1"/>
      <name val="Calibri"/>
      <family val="2"/>
    </font>
    <font>
      <b/>
      <u/>
      <sz val="10"/>
      <color indexed="8"/>
      <name val="Arial"/>
      <family val="2"/>
    </font>
    <font>
      <sz val="10"/>
      <color indexed="12"/>
      <name val="Arial"/>
      <family val="2"/>
    </font>
    <font>
      <sz val="10"/>
      <color indexed="8"/>
      <name val="Arial"/>
      <family val="2"/>
    </font>
    <font>
      <sz val="8"/>
      <color indexed="8"/>
      <name val="Arial"/>
      <family val="2"/>
    </font>
    <font>
      <sz val="8"/>
      <name val="Arial"/>
      <family val="2"/>
    </font>
    <font>
      <sz val="10"/>
      <color indexed="8"/>
      <name val="Symbol"/>
      <family val="1"/>
      <charset val="2"/>
    </font>
    <font>
      <sz val="10"/>
      <color rgb="FFFF0000"/>
      <name val="Arial"/>
      <family val="2"/>
    </font>
    <font>
      <sz val="10"/>
      <name val="Arial"/>
      <family val="2"/>
    </font>
    <font>
      <b/>
      <u/>
      <sz val="10"/>
      <color indexed="81"/>
      <name val="Arial"/>
      <family val="2"/>
    </font>
    <font>
      <b/>
      <sz val="10"/>
      <color indexed="81"/>
      <name val="Arial"/>
      <family val="2"/>
    </font>
    <font>
      <u/>
      <sz val="10"/>
      <color indexed="81"/>
      <name val="Arial"/>
      <family val="2"/>
    </font>
    <font>
      <sz val="10"/>
      <color indexed="81"/>
      <name val="Arial"/>
      <family val="2"/>
    </font>
    <font>
      <u/>
      <sz val="10"/>
      <color indexed="81"/>
      <name val="Symbol"/>
      <family val="1"/>
      <charset val="2"/>
    </font>
    <font>
      <sz val="10"/>
      <color indexed="81"/>
      <name val="Symbol"/>
      <family val="1"/>
      <charset val="2"/>
    </font>
    <font>
      <b/>
      <sz val="10"/>
      <name val="Arial"/>
    </font>
    <font>
      <b/>
      <sz val="10"/>
      <color indexed="39"/>
      <name val="Arial"/>
    </font>
    <font>
      <sz val="10"/>
      <name val="Arial"/>
    </font>
    <font>
      <b/>
      <sz val="6"/>
      <name val="Arial"/>
      <family val="2"/>
    </font>
    <font>
      <sz val="10"/>
      <name val="Arial Narrow"/>
      <family val="2"/>
    </font>
    <font>
      <vertAlign val="subscript"/>
      <sz val="10"/>
      <name val="Arial Narrow"/>
      <family val="2"/>
    </font>
    <font>
      <vertAlign val="superscript"/>
      <sz val="10"/>
      <name val="Arial Narrow"/>
      <family val="2"/>
    </font>
    <font>
      <sz val="10"/>
      <name val="Symbol"/>
      <family val="1"/>
      <charset val="2"/>
    </font>
    <font>
      <vertAlign val="subscript"/>
      <sz val="10"/>
      <name val="Symbol"/>
      <family val="1"/>
      <charset val="2"/>
    </font>
    <font>
      <sz val="10"/>
      <color indexed="39"/>
      <name val="Arial Narrow"/>
      <family val="2"/>
    </font>
    <font>
      <sz val="8"/>
      <name val="Arial Narrow"/>
      <family val="2"/>
    </font>
    <font>
      <vertAlign val="subscript"/>
      <sz val="8"/>
      <name val="Arial Narrow"/>
      <family val="2"/>
    </font>
    <font>
      <sz val="9"/>
      <name val="Arial Narrow"/>
      <family val="2"/>
    </font>
    <font>
      <sz val="10"/>
      <color indexed="9"/>
      <name val="Symbol"/>
      <family val="1"/>
      <charset val="2"/>
    </font>
    <font>
      <vertAlign val="subscript"/>
      <sz val="10"/>
      <name val="Arial"/>
      <family val="2"/>
    </font>
    <font>
      <vertAlign val="superscript"/>
      <sz val="9"/>
      <name val="Arial Narrow"/>
      <family val="2"/>
    </font>
    <font>
      <sz val="10"/>
      <color indexed="8"/>
      <name val="Arial Narrow"/>
      <family val="2"/>
    </font>
    <font>
      <vertAlign val="superscript"/>
      <sz val="10"/>
      <color indexed="39"/>
      <name val="Arial Narrow"/>
      <family val="2"/>
    </font>
    <font>
      <sz val="10"/>
      <color indexed="10"/>
      <name val="Arial Narrow"/>
      <family val="2"/>
    </font>
    <font>
      <b/>
      <i/>
      <sz val="10"/>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5" tint="0.59999389629810485"/>
        <bgColor indexed="64"/>
      </patternFill>
    </fill>
    <fill>
      <patternFill patternType="solid">
        <fgColor rgb="FFFFFF99"/>
        <bgColor rgb="FFFFFF99"/>
      </patternFill>
    </fill>
    <fill>
      <patternFill patternType="solid">
        <fgColor rgb="FFCCFFCC"/>
        <bgColor rgb="FFCCFFCC"/>
      </patternFill>
    </fill>
    <fill>
      <patternFill patternType="solid">
        <fgColor rgb="FFADB9CA"/>
        <bgColor rgb="FFADB9CA"/>
      </patternFill>
    </fill>
    <fill>
      <patternFill patternType="solid">
        <fgColor rgb="FFFFCC99"/>
        <bgColor rgb="FFFFCC99"/>
      </patternFill>
    </fill>
    <fill>
      <patternFill patternType="solid">
        <fgColor rgb="FF00FF00"/>
        <bgColor rgb="FF00FF00"/>
      </patternFill>
    </fill>
    <fill>
      <patternFill patternType="solid">
        <fgColor indexed="9"/>
        <bgColor indexed="64"/>
      </patternFill>
    </fill>
    <fill>
      <patternFill patternType="solid">
        <fgColor indexed="43"/>
        <bgColor indexed="64"/>
      </patternFill>
    </fill>
    <fill>
      <patternFill patternType="solid">
        <fgColor rgb="FF92D05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3">
    <xf numFmtId="0" fontId="0" fillId="0" borderId="0" xfId="0"/>
    <xf numFmtId="0" fontId="3" fillId="0" borderId="0" xfId="0" applyFont="1" applyAlignment="1">
      <alignment horizontal="center" vertical="center"/>
    </xf>
    <xf numFmtId="0" fontId="3" fillId="0" borderId="0" xfId="0" applyFont="1" applyAlignment="1">
      <alignment vertical="center"/>
    </xf>
    <xf numFmtId="0" fontId="3" fillId="0" borderId="0" xfId="0" applyFont="1"/>
    <xf numFmtId="0" fontId="3"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wrapText="1"/>
    </xf>
    <xf numFmtId="165"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3" fillId="0" borderId="1" xfId="0" applyFont="1" applyBorder="1"/>
    <xf numFmtId="0" fontId="1" fillId="0" borderId="0" xfId="0" applyFont="1" applyAlignment="1">
      <alignment horizontal="center" vertical="center"/>
    </xf>
    <xf numFmtId="0" fontId="6" fillId="0" borderId="0" xfId="0" applyFont="1" applyBorder="1" applyProtection="1"/>
    <xf numFmtId="0" fontId="8" fillId="0" borderId="0" xfId="0" applyFont="1" applyBorder="1" applyAlignment="1" applyProtection="1">
      <alignment horizontal="right" vertical="center" wrapText="1"/>
      <protection locked="0"/>
    </xf>
    <xf numFmtId="0" fontId="6" fillId="0" borderId="0" xfId="0" applyFont="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0" xfId="0" applyFont="1" applyBorder="1" applyAlignment="1" applyProtection="1">
      <alignment horizontal="right" vertical="center"/>
      <protection locked="0"/>
    </xf>
    <xf numFmtId="0" fontId="6" fillId="0" borderId="0" xfId="0" applyFont="1" applyBorder="1" applyProtection="1">
      <protection locked="0"/>
    </xf>
    <xf numFmtId="0" fontId="7" fillId="4" borderId="1" xfId="0" applyFont="1" applyFill="1" applyBorder="1" applyAlignment="1" applyProtection="1">
      <alignment horizontal="center" vertical="center" wrapText="1"/>
      <protection locked="0"/>
    </xf>
    <xf numFmtId="0" fontId="7" fillId="0" borderId="0" xfId="0" applyFont="1" applyBorder="1" applyAlignment="1" applyProtection="1">
      <alignment horizontal="center" vertical="center" wrapText="1"/>
      <protection locked="0"/>
    </xf>
    <xf numFmtId="0" fontId="6" fillId="0" borderId="1" xfId="0" applyFont="1" applyBorder="1" applyProtection="1">
      <protection locked="0"/>
    </xf>
    <xf numFmtId="0" fontId="9" fillId="0" borderId="1" xfId="0" applyFont="1" applyBorder="1" applyAlignment="1" applyProtection="1">
      <alignment horizontal="center"/>
      <protection locked="0"/>
    </xf>
    <xf numFmtId="166" fontId="6" fillId="0" borderId="1" xfId="0" applyNumberFormat="1" applyFont="1" applyBorder="1" applyProtection="1">
      <protection locked="0"/>
    </xf>
    <xf numFmtId="2" fontId="6" fillId="0" borderId="1" xfId="0" applyNumberFormat="1" applyFont="1" applyBorder="1" applyProtection="1">
      <protection locked="0"/>
    </xf>
    <xf numFmtId="1" fontId="7" fillId="0" borderId="1" xfId="0" applyNumberFormat="1" applyFont="1" applyBorder="1" applyProtection="1">
      <protection locked="0"/>
    </xf>
    <xf numFmtId="0" fontId="6" fillId="0" borderId="1" xfId="0" applyFont="1" applyFill="1" applyBorder="1" applyProtection="1">
      <protection locked="0"/>
    </xf>
    <xf numFmtId="0" fontId="9" fillId="0" borderId="1" xfId="0" applyFont="1" applyFill="1" applyBorder="1" applyAlignment="1" applyProtection="1">
      <alignment horizontal="center"/>
      <protection locked="0"/>
    </xf>
    <xf numFmtId="166" fontId="6" fillId="0" borderId="1" xfId="0" applyNumberFormat="1" applyFont="1" applyFill="1" applyBorder="1" applyProtection="1">
      <protection locked="0"/>
    </xf>
    <xf numFmtId="2" fontId="6" fillId="0" borderId="1" xfId="0" applyNumberFormat="1" applyFont="1" applyFill="1" applyBorder="1" applyProtection="1">
      <protection locked="0"/>
    </xf>
    <xf numFmtId="1" fontId="7" fillId="0" borderId="1" xfId="0" applyNumberFormat="1" applyFont="1" applyFill="1" applyBorder="1" applyProtection="1">
      <protection locked="0"/>
    </xf>
    <xf numFmtId="0" fontId="6" fillId="0" borderId="0" xfId="0" applyFont="1" applyFill="1" applyBorder="1" applyProtection="1">
      <protection locked="0"/>
    </xf>
    <xf numFmtId="0" fontId="10" fillId="0" borderId="1" xfId="0" applyFont="1" applyBorder="1" applyProtection="1">
      <protection locked="0"/>
    </xf>
    <xf numFmtId="166" fontId="10" fillId="0" borderId="1" xfId="0" applyNumberFormat="1" applyFont="1" applyBorder="1" applyProtection="1">
      <protection locked="0"/>
    </xf>
    <xf numFmtId="2" fontId="10" fillId="0" borderId="1" xfId="0" applyNumberFormat="1" applyFont="1" applyBorder="1" applyProtection="1">
      <protection locked="0"/>
    </xf>
    <xf numFmtId="1" fontId="11" fillId="0" borderId="1" xfId="0" applyNumberFormat="1" applyFont="1" applyBorder="1" applyProtection="1">
      <protection locked="0"/>
    </xf>
    <xf numFmtId="0" fontId="10" fillId="0" borderId="0" xfId="0" applyFont="1" applyBorder="1" applyProtection="1">
      <protection locked="0"/>
    </xf>
    <xf numFmtId="0" fontId="9" fillId="0" borderId="0" xfId="0" applyFont="1" applyBorder="1" applyProtection="1">
      <protection locked="0"/>
    </xf>
    <xf numFmtId="0" fontId="9" fillId="0" borderId="1" xfId="0" applyFont="1" applyBorder="1" applyProtection="1">
      <protection locked="0"/>
    </xf>
    <xf numFmtId="0" fontId="9" fillId="0" borderId="1" xfId="0" applyFont="1" applyFill="1" applyBorder="1" applyProtection="1">
      <protection locked="0"/>
    </xf>
    <xf numFmtId="0" fontId="8" fillId="0" borderId="0" xfId="0" applyFont="1" applyBorder="1" applyAlignment="1" applyProtection="1">
      <alignment horizontal="center" vertical="center" wrapText="1"/>
      <protection locked="0"/>
    </xf>
    <xf numFmtId="0" fontId="10" fillId="0" borderId="1" xfId="0" applyFont="1" applyBorder="1" applyAlignment="1" applyProtection="1">
      <alignment horizontal="center"/>
      <protection locked="0"/>
    </xf>
    <xf numFmtId="0" fontId="12" fillId="5" borderId="0" xfId="0" applyFont="1" applyFill="1" applyBorder="1" applyAlignment="1">
      <alignment horizontal="center" vertical="center"/>
    </xf>
    <xf numFmtId="0" fontId="14" fillId="0" borderId="0" xfId="0" applyFont="1" applyAlignment="1">
      <alignment vertical="center"/>
    </xf>
    <xf numFmtId="0" fontId="0" fillId="0" borderId="0" xfId="0" applyFont="1" applyAlignment="1"/>
    <xf numFmtId="0" fontId="15" fillId="5" borderId="5" xfId="0" applyFont="1" applyFill="1" applyBorder="1" applyAlignment="1">
      <alignment horizontal="left" vertical="center"/>
    </xf>
    <xf numFmtId="0" fontId="15" fillId="5" borderId="9" xfId="0" applyFont="1" applyFill="1" applyBorder="1" applyAlignment="1">
      <alignment horizontal="left" vertical="center"/>
    </xf>
    <xf numFmtId="0" fontId="16" fillId="0" borderId="0" xfId="0" applyFont="1" applyAlignment="1">
      <alignment horizontal="center" vertical="center"/>
    </xf>
    <xf numFmtId="0" fontId="17" fillId="0" borderId="0" xfId="0" applyFont="1" applyAlignment="1">
      <alignment vertical="center"/>
    </xf>
    <xf numFmtId="0" fontId="17" fillId="0" borderId="6" xfId="0" applyFont="1" applyBorder="1" applyAlignment="1">
      <alignment vertical="center"/>
    </xf>
    <xf numFmtId="0" fontId="14" fillId="0" borderId="8" xfId="0" applyFont="1" applyBorder="1" applyAlignment="1">
      <alignment vertical="center"/>
    </xf>
    <xf numFmtId="0" fontId="14" fillId="0" borderId="7" xfId="0" applyFont="1" applyBorder="1" applyAlignment="1">
      <alignment vertical="center"/>
    </xf>
    <xf numFmtId="3" fontId="14" fillId="0" borderId="0" xfId="0" applyNumberFormat="1" applyFont="1" applyAlignment="1">
      <alignment vertical="center"/>
    </xf>
    <xf numFmtId="0" fontId="19" fillId="5" borderId="0" xfId="0" applyFont="1" applyFill="1" applyBorder="1" applyAlignment="1">
      <alignment vertical="center"/>
    </xf>
    <xf numFmtId="0" fontId="14" fillId="5" borderId="0" xfId="0" applyFont="1" applyFill="1" applyBorder="1" applyAlignment="1">
      <alignment vertical="center"/>
    </xf>
    <xf numFmtId="0" fontId="19" fillId="5" borderId="0" xfId="0" applyFont="1" applyFill="1" applyBorder="1" applyAlignment="1">
      <alignment horizontal="center" vertical="center"/>
    </xf>
    <xf numFmtId="0" fontId="19" fillId="0" borderId="0" xfId="0" applyFont="1" applyAlignment="1">
      <alignment horizontal="center" vertical="center"/>
    </xf>
    <xf numFmtId="0" fontId="14" fillId="0" borderId="12" xfId="0" applyFont="1" applyBorder="1" applyAlignment="1">
      <alignment vertical="center"/>
    </xf>
    <xf numFmtId="0" fontId="14" fillId="6" borderId="13" xfId="0" applyFont="1" applyFill="1" applyBorder="1" applyAlignment="1">
      <alignment horizontal="center" vertical="center"/>
    </xf>
    <xf numFmtId="0" fontId="14" fillId="0" borderId="0" xfId="0" applyFont="1" applyAlignment="1">
      <alignment horizontal="center" vertical="center"/>
    </xf>
    <xf numFmtId="167" fontId="14" fillId="7" borderId="14" xfId="0" applyNumberFormat="1" applyFont="1" applyFill="1" applyBorder="1" applyAlignment="1">
      <alignment horizontal="center" vertical="center"/>
    </xf>
    <xf numFmtId="0" fontId="14" fillId="7" borderId="15" xfId="0" applyFont="1" applyFill="1" applyBorder="1" applyAlignment="1">
      <alignment horizontal="center" vertical="center"/>
    </xf>
    <xf numFmtId="167" fontId="14" fillId="0" borderId="0" xfId="0" applyNumberFormat="1" applyFont="1" applyAlignment="1">
      <alignment horizontal="center" vertical="center"/>
    </xf>
    <xf numFmtId="0" fontId="14" fillId="0" borderId="15" xfId="0" applyFont="1" applyBorder="1" applyAlignment="1">
      <alignment vertical="center"/>
    </xf>
    <xf numFmtId="0" fontId="18" fillId="0" borderId="0" xfId="0" applyFont="1" applyAlignment="1">
      <alignment horizontal="right" vertical="center"/>
    </xf>
    <xf numFmtId="0" fontId="14" fillId="0" borderId="16" xfId="0" applyFont="1" applyBorder="1" applyAlignment="1">
      <alignment vertical="center"/>
    </xf>
    <xf numFmtId="0" fontId="14" fillId="0" borderId="17" xfId="0" applyFont="1" applyBorder="1" applyAlignment="1">
      <alignment vertical="center"/>
    </xf>
    <xf numFmtId="0" fontId="14" fillId="6" borderId="18" xfId="0" applyFont="1" applyFill="1" applyBorder="1" applyAlignment="1">
      <alignment horizontal="center" vertical="center"/>
    </xf>
    <xf numFmtId="0" fontId="14" fillId="0" borderId="17" xfId="0" applyFont="1" applyBorder="1" applyAlignment="1">
      <alignment horizontal="center" vertical="center"/>
    </xf>
    <xf numFmtId="167" fontId="14" fillId="7" borderId="19" xfId="0" applyNumberFormat="1" applyFont="1" applyFill="1" applyBorder="1" applyAlignment="1">
      <alignment horizontal="center" vertical="center"/>
    </xf>
    <xf numFmtId="0" fontId="14" fillId="7" borderId="20" xfId="0" applyFont="1" applyFill="1" applyBorder="1" applyAlignment="1">
      <alignment horizontal="center" vertical="center"/>
    </xf>
    <xf numFmtId="0" fontId="17" fillId="0" borderId="12" xfId="0" applyFont="1" applyBorder="1" applyAlignment="1">
      <alignment vertical="center"/>
    </xf>
    <xf numFmtId="167" fontId="14" fillId="6" borderId="23" xfId="0" applyNumberFormat="1" applyFont="1" applyFill="1" applyBorder="1" applyAlignment="1">
      <alignment horizontal="center" vertical="center"/>
    </xf>
    <xf numFmtId="0" fontId="14" fillId="0" borderId="15" xfId="0" applyFont="1" applyBorder="1" applyAlignment="1">
      <alignment horizontal="center" vertical="center"/>
    </xf>
    <xf numFmtId="0" fontId="14" fillId="8" borderId="24" xfId="0" applyFont="1" applyFill="1" applyBorder="1" applyAlignment="1">
      <alignment horizontal="center" vertical="center"/>
    </xf>
    <xf numFmtId="0" fontId="14" fillId="8" borderId="25" xfId="0" applyFont="1" applyFill="1" applyBorder="1" applyAlignment="1">
      <alignment horizontal="center" vertical="center"/>
    </xf>
    <xf numFmtId="0" fontId="14" fillId="8" borderId="26" xfId="0" applyFont="1" applyFill="1" applyBorder="1" applyAlignment="1">
      <alignment horizontal="center" vertical="center"/>
    </xf>
    <xf numFmtId="0" fontId="14" fillId="0" borderId="8" xfId="0" applyFont="1" applyBorder="1" applyAlignment="1">
      <alignment horizontal="center" vertical="center"/>
    </xf>
    <xf numFmtId="167" fontId="14" fillId="7" borderId="27" xfId="0" applyNumberFormat="1" applyFont="1" applyFill="1" applyBorder="1" applyAlignment="1">
      <alignment horizontal="center" vertical="center"/>
    </xf>
    <xf numFmtId="0" fontId="14" fillId="7" borderId="7" xfId="0" applyFont="1" applyFill="1" applyBorder="1" applyAlignment="1">
      <alignment horizontal="center" vertical="center"/>
    </xf>
    <xf numFmtId="0" fontId="18" fillId="5" borderId="28" xfId="0" applyFont="1" applyFill="1" applyBorder="1" applyAlignment="1">
      <alignment horizontal="center" vertical="center"/>
    </xf>
    <xf numFmtId="0" fontId="18" fillId="5" borderId="0" xfId="0" applyFont="1" applyFill="1" applyBorder="1" applyAlignment="1">
      <alignment horizontal="center" vertical="center"/>
    </xf>
    <xf numFmtId="0" fontId="14" fillId="8" borderId="14" xfId="0" applyFont="1" applyFill="1" applyBorder="1" applyAlignment="1">
      <alignment horizontal="center" vertical="center"/>
    </xf>
    <xf numFmtId="0" fontId="14" fillId="9" borderId="13" xfId="0" applyFont="1" applyFill="1" applyBorder="1" applyAlignment="1">
      <alignment horizontal="center" vertical="center"/>
    </xf>
    <xf numFmtId="0" fontId="14" fillId="8" borderId="0" xfId="0" applyFont="1" applyFill="1" applyBorder="1" applyAlignment="1">
      <alignment horizontal="center" vertical="center"/>
    </xf>
    <xf numFmtId="0" fontId="14" fillId="8" borderId="32" xfId="0" applyFont="1" applyFill="1" applyBorder="1" applyAlignment="1">
      <alignment horizontal="center" vertical="center"/>
    </xf>
    <xf numFmtId="0" fontId="14" fillId="9" borderId="33" xfId="0" applyFont="1" applyFill="1" applyBorder="1" applyAlignment="1">
      <alignment horizontal="center" vertical="center"/>
    </xf>
    <xf numFmtId="0" fontId="14" fillId="7" borderId="0" xfId="0" applyFont="1" applyFill="1" applyBorder="1" applyAlignment="1">
      <alignment horizontal="center" vertical="center"/>
    </xf>
    <xf numFmtId="0" fontId="14" fillId="0" borderId="0" xfId="0" applyFont="1" applyAlignment="1">
      <alignment horizontal="right" vertical="center"/>
    </xf>
    <xf numFmtId="0" fontId="14" fillId="9" borderId="34" xfId="0" applyFont="1" applyFill="1" applyBorder="1" applyAlignment="1">
      <alignment horizontal="center" vertical="center"/>
    </xf>
    <xf numFmtId="0" fontId="14" fillId="9" borderId="29" xfId="0" applyFont="1" applyFill="1" applyBorder="1" applyAlignment="1">
      <alignment horizontal="center" vertical="center"/>
    </xf>
    <xf numFmtId="2" fontId="14" fillId="8" borderId="0" xfId="0" applyNumberFormat="1" applyFont="1" applyFill="1" applyBorder="1" applyAlignment="1">
      <alignment horizontal="center" vertical="center"/>
    </xf>
    <xf numFmtId="0" fontId="18" fillId="0" borderId="0" xfId="0" applyFont="1" applyAlignment="1">
      <alignment horizontal="center" vertical="center"/>
    </xf>
    <xf numFmtId="0" fontId="14" fillId="0" borderId="0" xfId="0" quotePrefix="1" applyFont="1" applyAlignment="1">
      <alignment horizontal="center" vertical="center"/>
    </xf>
    <xf numFmtId="167" fontId="14" fillId="7" borderId="0" xfId="0" applyNumberFormat="1" applyFont="1" applyFill="1" applyBorder="1" applyAlignment="1">
      <alignment horizontal="center" vertical="center"/>
    </xf>
    <xf numFmtId="0" fontId="14" fillId="0" borderId="0" xfId="0" applyFont="1" applyAlignment="1">
      <alignment horizontal="left" vertical="center"/>
    </xf>
    <xf numFmtId="0" fontId="14" fillId="8" borderId="35" xfId="0" applyFont="1" applyFill="1" applyBorder="1" applyAlignment="1">
      <alignment horizontal="center" vertical="center"/>
    </xf>
    <xf numFmtId="0" fontId="14" fillId="8" borderId="21" xfId="0" applyFont="1" applyFill="1" applyBorder="1" applyAlignment="1">
      <alignment horizontal="center" vertical="center"/>
    </xf>
    <xf numFmtId="0" fontId="14" fillId="8" borderId="22" xfId="0" applyFont="1" applyFill="1" applyBorder="1" applyAlignment="1">
      <alignment horizontal="center" vertical="center"/>
    </xf>
    <xf numFmtId="0" fontId="14" fillId="9" borderId="18" xfId="0" applyFont="1" applyFill="1" applyBorder="1" applyAlignment="1">
      <alignment horizontal="center" vertical="center"/>
    </xf>
    <xf numFmtId="167" fontId="14" fillId="7" borderId="17" xfId="0" applyNumberFormat="1" applyFont="1" applyFill="1" applyBorder="1" applyAlignment="1">
      <alignment horizontal="center" vertical="center"/>
    </xf>
    <xf numFmtId="0" fontId="14" fillId="7" borderId="17" xfId="0" applyFont="1" applyFill="1" applyBorder="1" applyAlignment="1">
      <alignment horizontal="center" vertical="center"/>
    </xf>
    <xf numFmtId="0" fontId="14" fillId="9" borderId="36" xfId="0" applyFont="1" applyFill="1" applyBorder="1" applyAlignment="1">
      <alignment horizontal="center" vertical="center"/>
    </xf>
    <xf numFmtId="0" fontId="14" fillId="0" borderId="32" xfId="0" applyFont="1" applyBorder="1" applyAlignment="1">
      <alignment vertical="center"/>
    </xf>
    <xf numFmtId="3" fontId="14" fillId="6" borderId="13" xfId="0" applyNumberFormat="1" applyFont="1" applyFill="1" applyBorder="1" applyAlignment="1">
      <alignment horizontal="center" vertical="center"/>
    </xf>
    <xf numFmtId="0" fontId="20" fillId="0" borderId="0" xfId="0" applyFont="1" applyAlignment="1">
      <alignment vertical="center"/>
    </xf>
    <xf numFmtId="0" fontId="14" fillId="7" borderId="14" xfId="0" applyFont="1" applyFill="1" applyBorder="1" applyAlignment="1">
      <alignment horizontal="center" vertical="center"/>
    </xf>
    <xf numFmtId="0" fontId="14" fillId="7" borderId="19" xfId="0" applyFont="1" applyFill="1" applyBorder="1" applyAlignment="1">
      <alignment horizontal="center" vertical="center"/>
    </xf>
    <xf numFmtId="0" fontId="14" fillId="8" borderId="26" xfId="0" applyFont="1" applyFill="1" applyBorder="1" applyAlignment="1">
      <alignment vertical="center"/>
    </xf>
    <xf numFmtId="0" fontId="14" fillId="7" borderId="27" xfId="0" applyFont="1" applyFill="1" applyBorder="1" applyAlignment="1">
      <alignment horizontal="center" vertical="center"/>
    </xf>
    <xf numFmtId="0" fontId="14" fillId="8" borderId="32" xfId="0" applyFont="1" applyFill="1" applyBorder="1" applyAlignment="1">
      <alignment vertical="center"/>
    </xf>
    <xf numFmtId="3" fontId="14" fillId="0" borderId="0" xfId="0" applyNumberFormat="1" applyFont="1" applyAlignment="1">
      <alignment horizontal="right" vertical="center"/>
    </xf>
    <xf numFmtId="0" fontId="14" fillId="8" borderId="22" xfId="0" applyFont="1" applyFill="1" applyBorder="1" applyAlignment="1">
      <alignment vertical="center"/>
    </xf>
    <xf numFmtId="3" fontId="14" fillId="6" borderId="23" xfId="0" applyNumberFormat="1" applyFont="1" applyFill="1" applyBorder="1" applyAlignment="1">
      <alignment horizontal="center" vertical="center"/>
    </xf>
    <xf numFmtId="3" fontId="14" fillId="0" borderId="0" xfId="0" applyNumberFormat="1" applyFont="1" applyAlignment="1">
      <alignment horizontal="center" vertical="center"/>
    </xf>
    <xf numFmtId="0" fontId="14" fillId="7" borderId="19" xfId="0" applyFont="1" applyFill="1" applyBorder="1" applyAlignment="1">
      <alignment vertical="center"/>
    </xf>
    <xf numFmtId="0" fontId="14" fillId="7" borderId="20" xfId="0" applyFont="1" applyFill="1" applyBorder="1" applyAlignment="1">
      <alignment vertical="center"/>
    </xf>
    <xf numFmtId="0" fontId="21" fillId="0" borderId="12" xfId="0" applyFont="1" applyBorder="1" applyAlignment="1">
      <alignment vertical="center"/>
    </xf>
    <xf numFmtId="168" fontId="14" fillId="6" borderId="13" xfId="0" applyNumberFormat="1" applyFont="1" applyFill="1" applyBorder="1" applyAlignment="1">
      <alignment horizontal="center" vertical="center"/>
    </xf>
    <xf numFmtId="0" fontId="18" fillId="0" borderId="0" xfId="0" applyFont="1" applyAlignment="1">
      <alignment vertical="center"/>
    </xf>
    <xf numFmtId="0" fontId="18" fillId="0" borderId="17" xfId="0" applyFont="1" applyBorder="1" applyAlignment="1">
      <alignment vertical="center"/>
    </xf>
    <xf numFmtId="1" fontId="14" fillId="0" borderId="0" xfId="0" applyNumberFormat="1" applyFont="1" applyAlignment="1">
      <alignment horizontal="left" vertical="center"/>
    </xf>
    <xf numFmtId="1" fontId="14" fillId="0" borderId="0" xfId="0" applyNumberFormat="1" applyFont="1" applyAlignment="1">
      <alignment horizontal="center" vertical="center"/>
    </xf>
    <xf numFmtId="2" fontId="14" fillId="0" borderId="0" xfId="0" applyNumberFormat="1" applyFont="1" applyAlignment="1">
      <alignment horizontal="left" vertical="center"/>
    </xf>
    <xf numFmtId="2" fontId="14" fillId="0" borderId="0" xfId="0" applyNumberFormat="1" applyFont="1" applyAlignment="1">
      <alignment horizontal="center" vertical="center"/>
    </xf>
    <xf numFmtId="166" fontId="18" fillId="0" borderId="0" xfId="0" applyNumberFormat="1" applyFont="1" applyAlignment="1">
      <alignment horizontal="center" vertical="center"/>
    </xf>
    <xf numFmtId="0" fontId="17" fillId="9" borderId="0" xfId="0" applyFont="1" applyFill="1" applyBorder="1" applyAlignment="1">
      <alignment vertical="center"/>
    </xf>
    <xf numFmtId="2" fontId="18" fillId="0" borderId="0" xfId="0" applyNumberFormat="1" applyFont="1" applyAlignment="1">
      <alignment horizontal="center" vertical="center"/>
    </xf>
    <xf numFmtId="2" fontId="14" fillId="0" borderId="0" xfId="0" applyNumberFormat="1" applyFont="1" applyAlignment="1">
      <alignment vertical="center"/>
    </xf>
    <xf numFmtId="4" fontId="14" fillId="0" borderId="0" xfId="0" applyNumberFormat="1" applyFont="1" applyAlignment="1">
      <alignment horizontal="center" vertical="center"/>
    </xf>
    <xf numFmtId="0" fontId="17" fillId="0" borderId="0" xfId="0" applyFont="1" applyAlignment="1">
      <alignment horizontal="center" vertical="center"/>
    </xf>
    <xf numFmtId="3" fontId="18" fillId="0" borderId="0" xfId="0" applyNumberFormat="1" applyFont="1" applyAlignment="1">
      <alignment horizontal="center" vertical="center"/>
    </xf>
    <xf numFmtId="0" fontId="25" fillId="10" borderId="37" xfId="0" applyFont="1" applyFill="1" applyBorder="1" applyAlignment="1" applyProtection="1">
      <protection hidden="1"/>
    </xf>
    <xf numFmtId="0" fontId="26" fillId="10" borderId="0" xfId="0" applyFont="1" applyFill="1" applyBorder="1" applyAlignment="1" applyProtection="1">
      <protection locked="0"/>
    </xf>
    <xf numFmtId="0" fontId="27" fillId="10" borderId="37" xfId="0" applyFont="1" applyFill="1" applyBorder="1" applyAlignment="1" applyProtection="1">
      <protection hidden="1"/>
    </xf>
    <xf numFmtId="0" fontId="27" fillId="10" borderId="0" xfId="0" applyFont="1" applyFill="1" applyBorder="1" applyAlignment="1" applyProtection="1">
      <alignment horizontal="right"/>
      <protection hidden="1"/>
    </xf>
    <xf numFmtId="166" fontId="26" fillId="11" borderId="38" xfId="0" applyNumberFormat="1" applyFont="1" applyFill="1" applyBorder="1" applyAlignment="1" applyProtection="1">
      <alignment horizontal="center"/>
      <protection locked="0"/>
    </xf>
    <xf numFmtId="0" fontId="28" fillId="10" borderId="0" xfId="0" applyFont="1" applyFill="1" applyBorder="1" applyAlignment="1" applyProtection="1">
      <protection hidden="1"/>
    </xf>
    <xf numFmtId="166" fontId="26" fillId="11" borderId="39" xfId="0" applyNumberFormat="1" applyFont="1" applyFill="1" applyBorder="1" applyAlignment="1" applyProtection="1">
      <alignment horizontal="center"/>
      <protection locked="0"/>
    </xf>
    <xf numFmtId="0" fontId="26" fillId="11" borderId="39" xfId="0" applyFont="1" applyFill="1" applyBorder="1" applyAlignment="1" applyProtection="1">
      <alignment horizontal="center"/>
      <protection locked="0"/>
    </xf>
    <xf numFmtId="2" fontId="26" fillId="11" borderId="39" xfId="0" applyNumberFormat="1" applyFont="1" applyFill="1" applyBorder="1" applyAlignment="1" applyProtection="1">
      <alignment horizontal="center"/>
      <protection locked="0"/>
    </xf>
    <xf numFmtId="166" fontId="26" fillId="11" borderId="40" xfId="0" applyNumberFormat="1" applyFont="1" applyFill="1" applyBorder="1" applyAlignment="1" applyProtection="1">
      <alignment horizontal="center"/>
      <protection locked="0"/>
    </xf>
    <xf numFmtId="2" fontId="28" fillId="10" borderId="0" xfId="0" applyNumberFormat="1" applyFont="1" applyFill="1" applyBorder="1" applyAlignment="1" applyProtection="1">
      <protection hidden="1"/>
    </xf>
    <xf numFmtId="0" fontId="31" fillId="0" borderId="0" xfId="0" applyFont="1"/>
    <xf numFmtId="0" fontId="32" fillId="0" borderId="0" xfId="0" applyFont="1"/>
    <xf numFmtId="166" fontId="27" fillId="10" borderId="0" xfId="0" applyNumberFormat="1" applyFont="1" applyFill="1" applyBorder="1" applyAlignment="1" applyProtection="1">
      <alignment horizontal="left" vertical="top"/>
      <protection hidden="1"/>
    </xf>
    <xf numFmtId="0" fontId="0" fillId="0" borderId="0" xfId="0" applyBorder="1"/>
    <xf numFmtId="0" fontId="0" fillId="0" borderId="0" xfId="0" applyFill="1" applyBorder="1"/>
    <xf numFmtId="0" fontId="32" fillId="0" borderId="0" xfId="0" applyFont="1" applyBorder="1"/>
    <xf numFmtId="0" fontId="27" fillId="10" borderId="37" xfId="0" applyFont="1" applyFill="1" applyBorder="1" applyAlignment="1" applyProtection="1">
      <alignment horizontal="left" vertical="top"/>
      <protection hidden="1"/>
    </xf>
    <xf numFmtId="0" fontId="0" fillId="10" borderId="0" xfId="0" applyFill="1" applyBorder="1" applyAlignment="1" applyProtection="1">
      <alignment horizontal="left" vertical="top"/>
      <protection hidden="1"/>
    </xf>
    <xf numFmtId="0" fontId="27" fillId="10" borderId="0" xfId="0" applyFont="1" applyFill="1" applyBorder="1" applyAlignment="1" applyProtection="1">
      <alignment horizontal="left" vertical="top"/>
      <protection hidden="1"/>
    </xf>
    <xf numFmtId="0" fontId="32" fillId="12" borderId="0" xfId="0" applyFont="1" applyFill="1"/>
    <xf numFmtId="0" fontId="0" fillId="12" borderId="0" xfId="0" applyFill="1"/>
    <xf numFmtId="0" fontId="32" fillId="0" borderId="1" xfId="0" applyFont="1" applyBorder="1"/>
    <xf numFmtId="0" fontId="0" fillId="0" borderId="1" xfId="0" applyBorder="1"/>
    <xf numFmtId="0" fontId="32" fillId="0" borderId="1" xfId="0" applyFont="1" applyFill="1" applyBorder="1"/>
    <xf numFmtId="0" fontId="0" fillId="0" borderId="1" xfId="0" applyFill="1" applyBorder="1"/>
    <xf numFmtId="0" fontId="2"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165"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wrapText="1"/>
    </xf>
    <xf numFmtId="0" fontId="7" fillId="0" borderId="0" xfId="0" applyFont="1" applyBorder="1" applyAlignment="1" applyProtection="1">
      <alignment horizontal="left" vertical="center" wrapText="1"/>
      <protection locked="0"/>
    </xf>
    <xf numFmtId="0" fontId="7" fillId="0" borderId="0" xfId="0" applyFont="1" applyBorder="1" applyAlignment="1" applyProtection="1">
      <alignment horizontal="left" vertical="center"/>
      <protection locked="0"/>
    </xf>
    <xf numFmtId="0" fontId="5" fillId="2" borderId="0"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12" fillId="5" borderId="2" xfId="0" applyFont="1" applyFill="1" applyBorder="1" applyAlignment="1">
      <alignment horizontal="center" vertical="center"/>
    </xf>
    <xf numFmtId="0" fontId="13" fillId="0" borderId="3" xfId="0" applyFont="1" applyBorder="1"/>
    <xf numFmtId="0" fontId="13" fillId="0" borderId="4" xfId="0" applyFont="1" applyBorder="1"/>
    <xf numFmtId="0" fontId="16" fillId="0" borderId="2" xfId="0" applyFont="1" applyBorder="1" applyAlignment="1">
      <alignment horizontal="center" vertical="center"/>
    </xf>
    <xf numFmtId="0" fontId="15" fillId="5" borderId="2" xfId="0" applyFont="1" applyFill="1" applyBorder="1" applyAlignment="1">
      <alignment horizontal="left" vertical="center"/>
    </xf>
    <xf numFmtId="0" fontId="15" fillId="5" borderId="6" xfId="0" applyFont="1" applyFill="1" applyBorder="1" applyAlignment="1">
      <alignment horizontal="center" vertical="center"/>
    </xf>
    <xf numFmtId="0" fontId="13" fillId="0" borderId="7" xfId="0" applyFont="1" applyBorder="1"/>
    <xf numFmtId="0" fontId="16" fillId="0" borderId="6" xfId="0" applyFont="1" applyBorder="1" applyAlignment="1">
      <alignment horizontal="center" vertical="center"/>
    </xf>
    <xf numFmtId="0" fontId="13" fillId="0" borderId="8" xfId="0" applyFont="1" applyBorder="1"/>
    <xf numFmtId="0" fontId="18" fillId="5" borderId="10" xfId="0" applyFont="1" applyFill="1" applyBorder="1" applyAlignment="1">
      <alignment horizontal="center" vertical="center"/>
    </xf>
    <xf numFmtId="0" fontId="13" fillId="0" borderId="11" xfId="0" applyFont="1" applyBorder="1"/>
    <xf numFmtId="0" fontId="17" fillId="0" borderId="12" xfId="0" applyFont="1" applyBorder="1" applyAlignment="1">
      <alignment horizontal="right" vertical="center"/>
    </xf>
    <xf numFmtId="0" fontId="0" fillId="0" borderId="0" xfId="0" applyFont="1" applyAlignment="1"/>
    <xf numFmtId="0" fontId="14" fillId="0" borderId="21" xfId="0" applyFont="1" applyBorder="1" applyAlignment="1">
      <alignment horizontal="right" vertical="center"/>
    </xf>
    <xf numFmtId="0" fontId="13" fillId="0" borderId="21" xfId="0" applyFont="1" applyBorder="1"/>
    <xf numFmtId="0" fontId="13" fillId="0" borderId="22" xfId="0" applyFont="1" applyBorder="1"/>
    <xf numFmtId="0" fontId="18" fillId="5" borderId="28" xfId="0" applyFont="1" applyFill="1" applyBorder="1" applyAlignment="1">
      <alignment horizontal="center" vertical="center"/>
    </xf>
    <xf numFmtId="0" fontId="13" fillId="0" borderId="28" xfId="0" applyFont="1" applyBorder="1"/>
    <xf numFmtId="0" fontId="13" fillId="0" borderId="29" xfId="0" applyFont="1" applyBorder="1"/>
    <xf numFmtId="0" fontId="18" fillId="5" borderId="30" xfId="0" applyFont="1" applyFill="1" applyBorder="1" applyAlignment="1">
      <alignment horizontal="center" vertical="center"/>
    </xf>
    <xf numFmtId="0" fontId="23" fillId="0" borderId="0" xfId="0" applyFont="1" applyAlignment="1">
      <alignment horizontal="center" vertical="center" wrapText="1"/>
    </xf>
    <xf numFmtId="0" fontId="24" fillId="7" borderId="0" xfId="0" applyFont="1" applyFill="1" applyBorder="1" applyAlignment="1">
      <alignment horizontal="center" vertical="center"/>
    </xf>
    <xf numFmtId="0" fontId="13" fillId="0" borderId="0" xfId="0" applyFont="1" applyBorder="1"/>
    <xf numFmtId="0" fontId="14" fillId="0" borderId="12" xfId="0" applyFont="1" applyBorder="1" applyAlignment="1">
      <alignment horizontal="center" vertical="center"/>
    </xf>
    <xf numFmtId="0" fontId="14" fillId="0" borderId="16" xfId="0" applyFont="1" applyBorder="1" applyAlignment="1">
      <alignment horizontal="center" vertical="center"/>
    </xf>
    <xf numFmtId="0" fontId="13" fillId="0" borderId="17" xfId="0" applyFont="1" applyBorder="1"/>
    <xf numFmtId="0" fontId="18" fillId="0" borderId="12" xfId="0" applyFont="1" applyBorder="1" applyAlignment="1">
      <alignment horizontal="center" vertical="center"/>
    </xf>
    <xf numFmtId="0" fontId="13" fillId="0" borderId="16" xfId="0" applyFont="1" applyBorder="1"/>
    <xf numFmtId="3" fontId="18" fillId="6" borderId="25" xfId="0" applyNumberFormat="1" applyFont="1" applyFill="1" applyBorder="1" applyAlignment="1">
      <alignment horizontal="center" vertical="center"/>
    </xf>
    <xf numFmtId="0" fontId="18" fillId="0" borderId="0" xfId="0" quotePrefix="1" applyFont="1" applyAlignment="1">
      <alignment horizontal="center" vertical="center"/>
    </xf>
    <xf numFmtId="167" fontId="14" fillId="7" borderId="14" xfId="0" applyNumberFormat="1" applyFont="1" applyFill="1" applyBorder="1" applyAlignment="1">
      <alignment horizontal="center" vertical="center"/>
    </xf>
    <xf numFmtId="0" fontId="13" fillId="0" borderId="19" xfId="0" applyFont="1" applyBorder="1"/>
    <xf numFmtId="0" fontId="14" fillId="7" borderId="15" xfId="0" applyFont="1" applyFill="1" applyBorder="1" applyAlignment="1">
      <alignment horizontal="center" vertical="center"/>
    </xf>
    <xf numFmtId="0" fontId="13" fillId="0" borderId="20" xfId="0" applyFont="1" applyBorder="1"/>
    <xf numFmtId="0" fontId="13" fillId="0" borderId="31" xfId="0" applyFont="1" applyBorder="1"/>
    <xf numFmtId="0" fontId="32" fillId="12" borderId="41" xfId="0" applyFont="1" applyFill="1" applyBorder="1" applyAlignment="1">
      <alignment horizontal="left" vertical="top"/>
    </xf>
    <xf numFmtId="0" fontId="32" fillId="12" borderId="42" xfId="0" applyFont="1" applyFill="1" applyBorder="1" applyAlignment="1">
      <alignment horizontal="left" vertical="top"/>
    </xf>
    <xf numFmtId="0" fontId="32" fillId="12" borderId="43" xfId="0" applyFont="1" applyFill="1" applyBorder="1" applyAlignment="1">
      <alignment horizontal="left" vertical="top"/>
    </xf>
    <xf numFmtId="0" fontId="32" fillId="12" borderId="41" xfId="0" applyFont="1" applyFill="1" applyBorder="1" applyAlignment="1">
      <alignment horizontal="left" vertical="top" wrapText="1"/>
    </xf>
    <xf numFmtId="0" fontId="32" fillId="12" borderId="42" xfId="0" applyFont="1" applyFill="1" applyBorder="1" applyAlignment="1">
      <alignment horizontal="left" vertical="top" wrapText="1"/>
    </xf>
    <xf numFmtId="0" fontId="32" fillId="12" borderId="43" xfId="0" applyFont="1" applyFill="1" applyBorder="1" applyAlignment="1">
      <alignment horizontal="left" vertical="top" wrapText="1"/>
    </xf>
    <xf numFmtId="0" fontId="39" fillId="0" borderId="44" xfId="0" applyFont="1" applyBorder="1" applyProtection="1">
      <protection locked="0"/>
    </xf>
    <xf numFmtId="0" fontId="0" fillId="0" borderId="45" xfId="0" applyBorder="1" applyProtection="1">
      <protection locked="0"/>
    </xf>
    <xf numFmtId="0" fontId="40" fillId="0" borderId="45" xfId="0" applyFont="1" applyBorder="1" applyProtection="1">
      <protection locked="0"/>
    </xf>
    <xf numFmtId="0" fontId="39" fillId="0" borderId="45" xfId="0" applyFont="1" applyBorder="1" applyProtection="1">
      <protection locked="0"/>
    </xf>
    <xf numFmtId="0" fontId="41" fillId="0" borderId="45" xfId="0" applyFont="1" applyBorder="1" applyProtection="1">
      <protection locked="0"/>
    </xf>
    <xf numFmtId="0" fontId="41" fillId="0" borderId="45" xfId="0" applyFont="1" applyBorder="1" applyAlignment="1" applyProtection="1">
      <alignment horizontal="right"/>
      <protection locked="0"/>
    </xf>
    <xf numFmtId="0" fontId="41" fillId="0" borderId="46" xfId="0" applyFont="1" applyBorder="1" applyProtection="1">
      <protection locked="0"/>
    </xf>
    <xf numFmtId="0" fontId="41" fillId="0" borderId="47" xfId="0" applyFont="1" applyBorder="1" applyProtection="1">
      <protection locked="0"/>
    </xf>
    <xf numFmtId="0" fontId="41" fillId="0" borderId="0" xfId="0" applyFont="1" applyProtection="1">
      <protection locked="0"/>
    </xf>
    <xf numFmtId="0" fontId="39" fillId="0" borderId="48" xfId="0" applyFont="1" applyBorder="1" applyProtection="1">
      <protection locked="0"/>
    </xf>
    <xf numFmtId="0" fontId="0" fillId="0" borderId="49" xfId="0" applyBorder="1" applyProtection="1">
      <protection locked="0"/>
    </xf>
    <xf numFmtId="0" fontId="40" fillId="0" borderId="49" xfId="0" applyFont="1" applyBorder="1" applyProtection="1">
      <protection locked="0"/>
    </xf>
    <xf numFmtId="0" fontId="39" fillId="0" borderId="49" xfId="0" applyFont="1" applyBorder="1" applyProtection="1">
      <protection locked="0"/>
    </xf>
    <xf numFmtId="0" fontId="41" fillId="0" borderId="49" xfId="0" applyFont="1" applyBorder="1" applyProtection="1">
      <protection locked="0"/>
    </xf>
    <xf numFmtId="0" fontId="41" fillId="0" borderId="49" xfId="0" applyFont="1" applyBorder="1" applyAlignment="1" applyProtection="1">
      <alignment horizontal="right"/>
      <protection locked="0"/>
    </xf>
    <xf numFmtId="0" fontId="41" fillId="0" borderId="50" xfId="0" applyFont="1" applyBorder="1" applyProtection="1">
      <protection locked="0"/>
    </xf>
    <xf numFmtId="0" fontId="39" fillId="0" borderId="51" xfId="0" applyFont="1" applyBorder="1" applyProtection="1">
      <protection locked="0"/>
    </xf>
    <xf numFmtId="0" fontId="39" fillId="0" borderId="0" xfId="0" applyFont="1" applyBorder="1" applyProtection="1">
      <protection locked="0"/>
    </xf>
    <xf numFmtId="0" fontId="41" fillId="0" borderId="0" xfId="0" applyFont="1" applyBorder="1" applyProtection="1">
      <protection locked="0"/>
    </xf>
    <xf numFmtId="0" fontId="42" fillId="0" borderId="0" xfId="0" applyFont="1" applyBorder="1" applyAlignment="1" applyProtection="1">
      <alignment horizontal="right"/>
      <protection locked="0"/>
    </xf>
    <xf numFmtId="0" fontId="41" fillId="0" borderId="52" xfId="0" applyFont="1" applyBorder="1" applyProtection="1">
      <protection locked="0"/>
    </xf>
    <xf numFmtId="0" fontId="41" fillId="0" borderId="51" xfId="0" applyFont="1" applyBorder="1" applyProtection="1">
      <protection locked="0"/>
    </xf>
    <xf numFmtId="0" fontId="43" fillId="0" borderId="51" xfId="0" applyFont="1" applyBorder="1" applyProtection="1">
      <protection locked="0"/>
    </xf>
    <xf numFmtId="0" fontId="43" fillId="0" borderId="0" xfId="0" applyFont="1" applyBorder="1" applyProtection="1">
      <protection locked="0"/>
    </xf>
    <xf numFmtId="0" fontId="43" fillId="0" borderId="52" xfId="0" applyFont="1" applyBorder="1" applyProtection="1">
      <protection locked="0"/>
    </xf>
    <xf numFmtId="0" fontId="43" fillId="0" borderId="0" xfId="0" applyFont="1" applyProtection="1">
      <protection locked="0"/>
    </xf>
    <xf numFmtId="0" fontId="43" fillId="0" borderId="0" xfId="0" applyFont="1" applyBorder="1" applyAlignment="1" applyProtection="1">
      <alignment horizontal="center"/>
      <protection locked="0"/>
    </xf>
    <xf numFmtId="0" fontId="43" fillId="0" borderId="0" xfId="0" applyFont="1" applyBorder="1" applyAlignment="1" applyProtection="1">
      <alignment horizontal="left"/>
      <protection locked="0"/>
    </xf>
    <xf numFmtId="169" fontId="48" fillId="0" borderId="0" xfId="0" applyNumberFormat="1" applyFont="1" applyBorder="1" applyAlignment="1" applyProtection="1">
      <alignment horizontal="left"/>
      <protection locked="0"/>
    </xf>
    <xf numFmtId="0" fontId="43" fillId="0" borderId="0" xfId="0" quotePrefix="1" applyFont="1" applyBorder="1" applyProtection="1">
      <protection locked="0"/>
    </xf>
    <xf numFmtId="2" fontId="48" fillId="0" borderId="0" xfId="0" applyNumberFormat="1" applyFont="1" applyBorder="1" applyAlignment="1" applyProtection="1">
      <alignment horizontal="left"/>
      <protection locked="0"/>
    </xf>
    <xf numFmtId="0" fontId="49" fillId="0" borderId="53" xfId="0" applyFont="1" applyBorder="1" applyAlignment="1" applyProtection="1">
      <alignment horizontal="center"/>
      <protection locked="0"/>
    </xf>
    <xf numFmtId="0" fontId="51" fillId="0" borderId="53" xfId="0" applyFont="1" applyBorder="1" applyAlignment="1" applyProtection="1">
      <alignment horizontal="center"/>
      <protection locked="0"/>
    </xf>
    <xf numFmtId="0" fontId="41" fillId="0" borderId="37" xfId="0" applyFont="1" applyBorder="1" applyProtection="1">
      <protection locked="0"/>
    </xf>
    <xf numFmtId="0" fontId="52" fillId="0" borderId="0" xfId="0" applyFont="1" applyBorder="1" applyAlignment="1" applyProtection="1">
      <alignment horizontal="center"/>
      <protection locked="0"/>
    </xf>
    <xf numFmtId="0" fontId="41" fillId="0" borderId="41" xfId="0" applyFont="1" applyBorder="1" applyAlignment="1" applyProtection="1">
      <alignment horizontal="center"/>
      <protection locked="0"/>
    </xf>
    <xf numFmtId="0" fontId="43" fillId="0" borderId="41" xfId="0" applyFont="1" applyBorder="1" applyAlignment="1" applyProtection="1">
      <alignment horizontal="center"/>
      <protection locked="0"/>
    </xf>
    <xf numFmtId="0" fontId="43" fillId="0" borderId="54" xfId="0" applyFont="1" applyBorder="1" applyAlignment="1" applyProtection="1">
      <alignment horizontal="center"/>
      <protection locked="0"/>
    </xf>
    <xf numFmtId="0" fontId="46" fillId="0" borderId="42" xfId="0" applyFont="1" applyBorder="1" applyAlignment="1" applyProtection="1">
      <alignment horizontal="center"/>
      <protection locked="0"/>
    </xf>
    <xf numFmtId="0" fontId="46" fillId="0" borderId="41" xfId="0" applyFont="1" applyBorder="1" applyAlignment="1" applyProtection="1">
      <alignment horizontal="center"/>
      <protection locked="0"/>
    </xf>
    <xf numFmtId="0" fontId="43" fillId="0" borderId="1" xfId="0" applyFont="1" applyBorder="1" applyAlignment="1" applyProtection="1">
      <alignment horizontal="center"/>
      <protection locked="0"/>
    </xf>
    <xf numFmtId="0" fontId="51" fillId="0" borderId="37" xfId="0" applyFont="1" applyBorder="1" applyAlignment="1" applyProtection="1">
      <alignment horizontal="center"/>
      <protection locked="0"/>
    </xf>
    <xf numFmtId="4" fontId="55" fillId="0" borderId="0" xfId="0" applyNumberFormat="1" applyFont="1" applyProtection="1">
      <protection locked="0"/>
    </xf>
    <xf numFmtId="2" fontId="55" fillId="0" borderId="0" xfId="0" applyNumberFormat="1" applyFont="1" applyProtection="1">
      <protection locked="0"/>
    </xf>
    <xf numFmtId="4" fontId="43" fillId="0" borderId="54" xfId="0" applyNumberFormat="1" applyFont="1" applyBorder="1" applyProtection="1">
      <protection locked="0"/>
    </xf>
    <xf numFmtId="1" fontId="48" fillId="0" borderId="42" xfId="0" applyNumberFormat="1" applyFont="1" applyBorder="1" applyProtection="1">
      <protection locked="0"/>
    </xf>
    <xf numFmtId="1" fontId="56" fillId="0" borderId="42" xfId="0" applyNumberFormat="1" applyFont="1" applyBorder="1" applyProtection="1">
      <protection locked="0"/>
    </xf>
    <xf numFmtId="2" fontId="48" fillId="0" borderId="41" xfId="0" applyNumberFormat="1" applyFont="1" applyBorder="1" applyProtection="1">
      <protection locked="0"/>
    </xf>
    <xf numFmtId="4" fontId="55" fillId="10" borderId="41" xfId="0" applyNumberFormat="1" applyFont="1" applyFill="1" applyBorder="1" applyProtection="1">
      <protection locked="0"/>
    </xf>
    <xf numFmtId="1" fontId="43" fillId="0" borderId="41" xfId="0" applyNumberFormat="1" applyFont="1" applyBorder="1" applyProtection="1">
      <protection locked="0"/>
    </xf>
    <xf numFmtId="4" fontId="48" fillId="0" borderId="41" xfId="0" applyNumberFormat="1" applyFont="1" applyBorder="1" applyProtection="1">
      <protection locked="0"/>
    </xf>
    <xf numFmtId="4" fontId="43" fillId="0" borderId="41" xfId="0" applyNumberFormat="1" applyFont="1" applyBorder="1" applyProtection="1">
      <protection locked="0"/>
    </xf>
    <xf numFmtId="4" fontId="55" fillId="0" borderId="41" xfId="0" applyNumberFormat="1" applyFont="1" applyBorder="1" applyProtection="1">
      <protection locked="0"/>
    </xf>
    <xf numFmtId="3" fontId="43" fillId="0" borderId="1" xfId="0" applyNumberFormat="1" applyFont="1" applyBorder="1" applyProtection="1">
      <protection locked="0"/>
    </xf>
    <xf numFmtId="3" fontId="43" fillId="0" borderId="42" xfId="0" applyNumberFormat="1" applyFont="1" applyBorder="1" applyProtection="1">
      <protection locked="0"/>
    </xf>
    <xf numFmtId="4" fontId="43" fillId="0" borderId="0" xfId="0" applyNumberFormat="1" applyFont="1" applyBorder="1" applyProtection="1">
      <protection locked="0"/>
    </xf>
    <xf numFmtId="4" fontId="43" fillId="0" borderId="52" xfId="0" applyNumberFormat="1" applyFont="1" applyBorder="1" applyProtection="1">
      <protection locked="0"/>
    </xf>
    <xf numFmtId="4" fontId="43" fillId="0" borderId="0" xfId="0" applyNumberFormat="1" applyFont="1" applyProtection="1">
      <protection locked="0"/>
    </xf>
    <xf numFmtId="2" fontId="43" fillId="0" borderId="48" xfId="0" applyNumberFormat="1" applyFont="1" applyBorder="1" applyProtection="1">
      <protection locked="0"/>
    </xf>
    <xf numFmtId="1" fontId="48" fillId="0" borderId="55" xfId="0" applyNumberFormat="1" applyFont="1" applyBorder="1" applyProtection="1">
      <protection locked="0"/>
    </xf>
    <xf numFmtId="2" fontId="48" fillId="0" borderId="55" xfId="0" applyNumberFormat="1" applyFont="1" applyBorder="1" applyProtection="1">
      <protection locked="0"/>
    </xf>
    <xf numFmtId="0" fontId="43" fillId="0" borderId="37" xfId="0" applyFont="1" applyBorder="1" applyProtection="1">
      <protection locked="0"/>
    </xf>
    <xf numFmtId="0" fontId="57" fillId="0" borderId="0" xfId="0" applyFont="1" applyProtection="1">
      <protection locked="0"/>
    </xf>
    <xf numFmtId="2" fontId="57" fillId="0" borderId="0" xfId="0" applyNumberFormat="1" applyFont="1" applyProtection="1">
      <protection locked="0"/>
    </xf>
    <xf numFmtId="0" fontId="43" fillId="0" borderId="56" xfId="0" applyFont="1" applyBorder="1" applyProtection="1">
      <protection locked="0"/>
    </xf>
    <xf numFmtId="0" fontId="43" fillId="0" borderId="57" xfId="0" applyFont="1" applyBorder="1" applyProtection="1">
      <protection locked="0"/>
    </xf>
    <xf numFmtId="0" fontId="43" fillId="0" borderId="58" xfId="0" applyFont="1" applyBorder="1" applyProtection="1">
      <protection locked="0"/>
    </xf>
    <xf numFmtId="2" fontId="43" fillId="0" borderId="0" xfId="0" applyNumberFormat="1" applyFont="1" applyProtection="1">
      <protection locked="0"/>
    </xf>
    <xf numFmtId="0" fontId="58" fillId="0" borderId="0" xfId="0" applyFont="1" applyProtection="1">
      <protection locked="0"/>
    </xf>
    <xf numFmtId="2" fontId="41" fillId="0" borderId="0" xfId="0" applyNumberFormat="1" applyFont="1" applyProtection="1">
      <protection locked="0"/>
    </xf>
    <xf numFmtId="0" fontId="41" fillId="0" borderId="0" xfId="0" applyFont="1" applyAlignment="1" applyProtection="1">
      <alignment horizontal="right"/>
      <protection locked="0"/>
    </xf>
    <xf numFmtId="0" fontId="0" fillId="0" borderId="0" xfId="0" applyProtection="1">
      <protection locked="0"/>
    </xf>
    <xf numFmtId="0" fontId="41" fillId="0" borderId="0" xfId="0" applyFont="1" applyBorder="1" applyAlignment="1" applyProtection="1">
      <alignment horizontal="right"/>
      <protection locked="0"/>
    </xf>
    <xf numFmtId="0" fontId="46" fillId="0" borderId="0" xfId="0" applyFont="1" applyBorder="1" applyAlignment="1" applyProtection="1">
      <alignment horizontal="right"/>
      <protection locked="0"/>
    </xf>
    <xf numFmtId="0" fontId="43" fillId="0" borderId="0" xfId="0" applyFont="1" applyBorder="1" applyAlignment="1" applyProtection="1">
      <alignment horizontal="right"/>
      <protection locked="0"/>
    </xf>
    <xf numFmtId="0" fontId="32" fillId="0" borderId="0" xfId="0" applyFont="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oneCellAnchor>
    <xdr:from>
      <xdr:col>29</xdr:col>
      <xdr:colOff>133350</xdr:colOff>
      <xdr:row>3</xdr:row>
      <xdr:rowOff>104775</xdr:rowOff>
    </xdr:from>
    <xdr:ext cx="0" cy="561975"/>
    <xdr:sp macro="" textlink="">
      <xdr:nvSpPr>
        <xdr:cNvPr id="2" name="Line 30">
          <a:extLst/>
        </xdr:cNvPr>
        <xdr:cNvSpPr>
          <a:spLocks noChangeShapeType="1"/>
        </xdr:cNvSpPr>
      </xdr:nvSpPr>
      <xdr:spPr bwMode="auto">
        <a:xfrm flipV="1">
          <a:off x="12182475" y="828675"/>
          <a:ext cx="0" cy="561975"/>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6</xdr:row>
      <xdr:rowOff>95250</xdr:rowOff>
    </xdr:from>
    <xdr:ext cx="847725" cy="0"/>
    <xdr:sp macro="" textlink="">
      <xdr:nvSpPr>
        <xdr:cNvPr id="3" name="Line 31">
          <a:extLst/>
        </xdr:cNvPr>
        <xdr:cNvSpPr>
          <a:spLocks noChangeShapeType="1"/>
        </xdr:cNvSpPr>
      </xdr:nvSpPr>
      <xdr:spPr bwMode="auto">
        <a:xfrm>
          <a:off x="12182475" y="1390650"/>
          <a:ext cx="847725" cy="0"/>
        </a:xfrm>
        <a:prstGeom prst="line">
          <a:avLst/>
        </a:prstGeom>
        <a:noFill/>
        <a:ln w="9525">
          <a:solidFill>
            <a:srgbClr val="000000"/>
          </a:solidFill>
          <a:round/>
          <a:headEnd/>
          <a:tailEnd type="triangle" w="med" len="med"/>
        </a:ln>
        <a:extLst/>
      </xdr:spPr>
    </xdr:sp>
    <xdr:clientData fLocksWithSheet="0"/>
  </xdr:oneCellAnchor>
  <xdr:oneCellAnchor>
    <xdr:from>
      <xdr:col>29</xdr:col>
      <xdr:colOff>142875</xdr:colOff>
      <xdr:row>9</xdr:row>
      <xdr:rowOff>76200</xdr:rowOff>
    </xdr:from>
    <xdr:ext cx="0" cy="581025"/>
    <xdr:sp macro="" textlink="">
      <xdr:nvSpPr>
        <xdr:cNvPr id="4" name="Line 33">
          <a:extLst/>
        </xdr:cNvPr>
        <xdr:cNvSpPr>
          <a:spLocks noChangeShapeType="1"/>
        </xdr:cNvSpPr>
      </xdr:nvSpPr>
      <xdr:spPr bwMode="auto">
        <a:xfrm flipV="1">
          <a:off x="12192000" y="1943100"/>
          <a:ext cx="0" cy="581025"/>
        </a:xfrm>
        <a:prstGeom prst="line">
          <a:avLst/>
        </a:prstGeom>
        <a:noFill/>
        <a:ln w="9525">
          <a:solidFill>
            <a:srgbClr val="000000"/>
          </a:solidFill>
          <a:round/>
          <a:headEnd/>
          <a:tailEnd type="triangle" w="med" len="med"/>
        </a:ln>
        <a:extLst/>
      </xdr:spPr>
    </xdr:sp>
    <xdr:clientData fLocksWithSheet="0"/>
  </xdr:oneCellAnchor>
  <xdr:oneCellAnchor>
    <xdr:from>
      <xdr:col>29</xdr:col>
      <xdr:colOff>142875</xdr:colOff>
      <xdr:row>12</xdr:row>
      <xdr:rowOff>85725</xdr:rowOff>
    </xdr:from>
    <xdr:ext cx="1152525" cy="0"/>
    <xdr:sp macro="" textlink="">
      <xdr:nvSpPr>
        <xdr:cNvPr id="5" name="Line 34">
          <a:extLst/>
        </xdr:cNvPr>
        <xdr:cNvSpPr>
          <a:spLocks noChangeShapeType="1"/>
        </xdr:cNvSpPr>
      </xdr:nvSpPr>
      <xdr:spPr bwMode="auto">
        <a:xfrm>
          <a:off x="12192000" y="2524125"/>
          <a:ext cx="1152525" cy="0"/>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15</xdr:row>
      <xdr:rowOff>95250</xdr:rowOff>
    </xdr:from>
    <xdr:ext cx="0" cy="561975"/>
    <xdr:sp macro="" textlink="">
      <xdr:nvSpPr>
        <xdr:cNvPr id="6" name="Line 35">
          <a:extLst/>
        </xdr:cNvPr>
        <xdr:cNvSpPr>
          <a:spLocks noChangeShapeType="1"/>
        </xdr:cNvSpPr>
      </xdr:nvSpPr>
      <xdr:spPr bwMode="auto">
        <a:xfrm flipV="1">
          <a:off x="12182475" y="3105150"/>
          <a:ext cx="0" cy="561975"/>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18</xdr:row>
      <xdr:rowOff>95250</xdr:rowOff>
    </xdr:from>
    <xdr:ext cx="1371600" cy="0"/>
    <xdr:sp macro="" textlink="">
      <xdr:nvSpPr>
        <xdr:cNvPr id="7" name="Line 36">
          <a:extLst/>
        </xdr:cNvPr>
        <xdr:cNvSpPr>
          <a:spLocks noChangeShapeType="1"/>
        </xdr:cNvSpPr>
      </xdr:nvSpPr>
      <xdr:spPr bwMode="auto">
        <a:xfrm>
          <a:off x="12182475" y="3676650"/>
          <a:ext cx="1371600" cy="0"/>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21</xdr:row>
      <xdr:rowOff>104775</xdr:rowOff>
    </xdr:from>
    <xdr:ext cx="0" cy="742950"/>
    <xdr:sp macro="" textlink="">
      <xdr:nvSpPr>
        <xdr:cNvPr id="8" name="Line 37">
          <a:extLst/>
        </xdr:cNvPr>
        <xdr:cNvSpPr>
          <a:spLocks noChangeShapeType="1"/>
        </xdr:cNvSpPr>
      </xdr:nvSpPr>
      <xdr:spPr bwMode="auto">
        <a:xfrm flipV="1">
          <a:off x="12182475" y="4257675"/>
          <a:ext cx="0" cy="742950"/>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25</xdr:row>
      <xdr:rowOff>95250</xdr:rowOff>
    </xdr:from>
    <xdr:ext cx="1143000" cy="0"/>
    <xdr:sp macro="" textlink="">
      <xdr:nvSpPr>
        <xdr:cNvPr id="9" name="Line 38">
          <a:extLst/>
        </xdr:cNvPr>
        <xdr:cNvSpPr>
          <a:spLocks noChangeShapeType="1"/>
        </xdr:cNvSpPr>
      </xdr:nvSpPr>
      <xdr:spPr bwMode="auto">
        <a:xfrm>
          <a:off x="12182475" y="5010150"/>
          <a:ext cx="1143000" cy="0"/>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29</xdr:row>
      <xdr:rowOff>76200</xdr:rowOff>
    </xdr:from>
    <xdr:ext cx="0" cy="771525"/>
    <xdr:sp macro="" textlink="">
      <xdr:nvSpPr>
        <xdr:cNvPr id="10" name="Line 39">
          <a:extLst/>
        </xdr:cNvPr>
        <xdr:cNvSpPr>
          <a:spLocks noChangeShapeType="1"/>
        </xdr:cNvSpPr>
      </xdr:nvSpPr>
      <xdr:spPr bwMode="auto">
        <a:xfrm flipV="1">
          <a:off x="12182475" y="5753100"/>
          <a:ext cx="0" cy="771525"/>
        </a:xfrm>
        <a:prstGeom prst="line">
          <a:avLst/>
        </a:prstGeom>
        <a:noFill/>
        <a:ln w="9525">
          <a:solidFill>
            <a:srgbClr val="000000"/>
          </a:solidFill>
          <a:round/>
          <a:headEnd/>
          <a:tailEnd type="triangle" w="med" len="med"/>
        </a:ln>
        <a:extLst/>
      </xdr:spPr>
    </xdr:sp>
    <xdr:clientData fLocksWithSheet="0"/>
  </xdr:oneCellAnchor>
  <xdr:oneCellAnchor>
    <xdr:from>
      <xdr:col>29</xdr:col>
      <xdr:colOff>133350</xdr:colOff>
      <xdr:row>33</xdr:row>
      <xdr:rowOff>95250</xdr:rowOff>
    </xdr:from>
    <xdr:ext cx="1457325" cy="0"/>
    <xdr:sp macro="" textlink="">
      <xdr:nvSpPr>
        <xdr:cNvPr id="11" name="Line 40">
          <a:extLst/>
        </xdr:cNvPr>
        <xdr:cNvSpPr>
          <a:spLocks noChangeShapeType="1"/>
        </xdr:cNvSpPr>
      </xdr:nvSpPr>
      <xdr:spPr bwMode="auto">
        <a:xfrm>
          <a:off x="12182475" y="6534150"/>
          <a:ext cx="1457325" cy="0"/>
        </a:xfrm>
        <a:prstGeom prst="line">
          <a:avLst/>
        </a:prstGeom>
        <a:noFill/>
        <a:ln w="9525">
          <a:solidFill>
            <a:srgbClr val="000000"/>
          </a:solidFill>
          <a:round/>
          <a:headEnd/>
          <a:tailEnd type="triangle" w="med" len="med"/>
        </a:ln>
        <a:extLst/>
      </xdr:spPr>
    </xdr:sp>
    <xdr:clientData fLocksWithSheet="0"/>
  </xdr:oneCellAnchor>
  <xdr:oneCellAnchor>
    <xdr:from>
      <xdr:col>29</xdr:col>
      <xdr:colOff>19050</xdr:colOff>
      <xdr:row>4</xdr:row>
      <xdr:rowOff>9525</xdr:rowOff>
    </xdr:from>
    <xdr:ext cx="304800" cy="133350"/>
    <xdr:sp macro="" textlink="">
      <xdr:nvSpPr>
        <xdr:cNvPr id="12" name="AutoShape 41">
          <a:extLst/>
        </xdr:cNvPr>
        <xdr:cNvSpPr>
          <a:spLocks noChangeArrowheads="1"/>
        </xdr:cNvSpPr>
      </xdr:nvSpPr>
      <xdr:spPr bwMode="auto">
        <a:xfrm>
          <a:off x="12068175" y="923925"/>
          <a:ext cx="304800" cy="133350"/>
        </a:xfrm>
        <a:prstGeom prst="curvedDownArrow">
          <a:avLst>
            <a:gd name="adj1" fmla="val 45714"/>
            <a:gd name="adj2" fmla="val 91429"/>
            <a:gd name="adj3" fmla="val 33333"/>
          </a:avLst>
        </a:prstGeom>
        <a:solidFill>
          <a:srgbClr val="00FFFF"/>
        </a:solidFill>
        <a:ln w="9525">
          <a:solidFill>
            <a:srgbClr val="000000"/>
          </a:solidFill>
          <a:miter lim="800000"/>
          <a:headEnd/>
          <a:tailEnd/>
        </a:ln>
      </xdr:spPr>
    </xdr:sp>
    <xdr:clientData fLocksWithSheet="0"/>
  </xdr:oneCellAnchor>
  <xdr:oneCellAnchor>
    <xdr:from>
      <xdr:col>32</xdr:col>
      <xdr:colOff>133350</xdr:colOff>
      <xdr:row>5</xdr:row>
      <xdr:rowOff>142875</xdr:rowOff>
    </xdr:from>
    <xdr:ext cx="142875" cy="295275"/>
    <xdr:sp macro="" textlink="">
      <xdr:nvSpPr>
        <xdr:cNvPr id="13" name="AutoShape 42">
          <a:extLst/>
        </xdr:cNvPr>
        <xdr:cNvSpPr>
          <a:spLocks noChangeArrowheads="1"/>
        </xdr:cNvSpPr>
      </xdr:nvSpPr>
      <xdr:spPr bwMode="auto">
        <a:xfrm>
          <a:off x="13011150" y="1247775"/>
          <a:ext cx="142875" cy="295275"/>
        </a:xfrm>
        <a:prstGeom prst="curvedLeftArrow">
          <a:avLst>
            <a:gd name="adj1" fmla="val 41333"/>
            <a:gd name="adj2" fmla="val 82667"/>
            <a:gd name="adj3" fmla="val 33333"/>
          </a:avLst>
        </a:prstGeom>
        <a:solidFill>
          <a:srgbClr val="00FFFF"/>
        </a:solidFill>
        <a:ln w="9525">
          <a:solidFill>
            <a:srgbClr val="000000"/>
          </a:solidFill>
          <a:miter lim="800000"/>
          <a:headEnd/>
          <a:tailEnd/>
        </a:ln>
      </xdr:spPr>
    </xdr:sp>
    <xdr:clientData fLocksWithSheet="0"/>
  </xdr:oneCellAnchor>
  <xdr:oneCellAnchor>
    <xdr:from>
      <xdr:col>23</xdr:col>
      <xdr:colOff>485775</xdr:colOff>
      <xdr:row>51</xdr:row>
      <xdr:rowOff>123825</xdr:rowOff>
    </xdr:from>
    <xdr:ext cx="3362325" cy="2324100"/>
    <xdr:sp macro="" textlink="">
      <xdr:nvSpPr>
        <xdr:cNvPr id="14" name="Object 1" hidden="1">
          <a:extLst/>
        </xdr:cNvPr>
        <xdr:cNvSpPr/>
      </xdr:nvSpPr>
      <xdr:spPr bwMode="auto">
        <a:xfrm>
          <a:off x="10544175" y="9991725"/>
          <a:ext cx="3362325" cy="2324100"/>
        </a:xfrm>
        <a:prstGeom prst="rect">
          <a:avLst/>
        </a:prstGeom>
        <a:solidFill>
          <a:srgbClr val="FFFFFF"/>
        </a:solidFill>
        <a:ln w="9525">
          <a:solidFill>
            <a:srgbClr val="000000"/>
          </a:solidFill>
          <a:miter lim="800000"/>
          <a:headEnd/>
          <a:tailEnd/>
        </a:ln>
      </xdr:spPr>
    </xdr:sp>
    <xdr:clientData fLocksWithSheet="0"/>
  </xdr:oneCellAnchor>
  <xdr:oneCellAnchor>
    <xdr:from>
      <xdr:col>7</xdr:col>
      <xdr:colOff>114300</xdr:colOff>
      <xdr:row>33</xdr:row>
      <xdr:rowOff>133350</xdr:rowOff>
    </xdr:from>
    <xdr:ext cx="1400175" cy="3762375"/>
    <xdr:sp macro="" textlink="">
      <xdr:nvSpPr>
        <xdr:cNvPr id="15" name="Rectangle 14">
          <a:extLst/>
        </xdr:cNvPr>
        <xdr:cNvSpPr/>
      </xdr:nvSpPr>
      <xdr:spPr>
        <a:xfrm>
          <a:off x="3648075" y="6572250"/>
          <a:ext cx="1400175" cy="3762375"/>
        </a:xfrm>
        <a:prstGeom prst="rect">
          <a:avLst/>
        </a:prstGeom>
        <a:noFill/>
        <a:ln w="12700" cap="flat" cmpd="sng" algn="ctr">
          <a:solidFill>
            <a:schemeClr val="accent1">
              <a:shade val="50000"/>
            </a:schemeClr>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US" sz="1100"/>
        </a:p>
      </xdr:txBody>
    </xdr:sp>
    <xdr:clientData fLocksWithSheet="0"/>
  </xdr:oneCellAnchor>
  <xdr:oneCellAnchor>
    <xdr:from>
      <xdr:col>7</xdr:col>
      <xdr:colOff>171450</xdr:colOff>
      <xdr:row>43</xdr:row>
      <xdr:rowOff>28575</xdr:rowOff>
    </xdr:from>
    <xdr:ext cx="142875" cy="142875"/>
    <xdr:sp macro="" textlink="">
      <xdr:nvSpPr>
        <xdr:cNvPr id="16" name="Arrow: Down 26">
          <a:extLst/>
        </xdr:cNvPr>
        <xdr:cNvSpPr/>
      </xdr:nvSpPr>
      <xdr:spPr>
        <a:xfrm rot="16200000">
          <a:off x="3705225" y="8372475"/>
          <a:ext cx="142875" cy="142875"/>
        </a:xfrm>
        <a:prstGeom prst="downArrow">
          <a:avLst/>
        </a:prstGeom>
        <a:solidFill>
          <a:schemeClr val="accent1"/>
        </a:solidFill>
        <a:ln w="12700" cap="flat" cmpd="sng" algn="ctr">
          <a:solidFill>
            <a:schemeClr val="accent1">
              <a:shade val="50000"/>
            </a:schemeClr>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US" sz="1100"/>
        </a:p>
      </xdr:txBody>
    </xdr:sp>
    <xdr:clientData fLocksWithSheet="0"/>
  </xdr:oneCellAnchor>
  <xdr:oneCellAnchor>
    <xdr:from>
      <xdr:col>7</xdr:col>
      <xdr:colOff>171450</xdr:colOff>
      <xdr:row>46</xdr:row>
      <xdr:rowOff>133350</xdr:rowOff>
    </xdr:from>
    <xdr:ext cx="142875" cy="142875"/>
    <xdr:sp macro="" textlink="">
      <xdr:nvSpPr>
        <xdr:cNvPr id="17" name="Arrow: Down 28">
          <a:extLst/>
        </xdr:cNvPr>
        <xdr:cNvSpPr/>
      </xdr:nvSpPr>
      <xdr:spPr>
        <a:xfrm rot="16200000">
          <a:off x="3705225" y="9048750"/>
          <a:ext cx="142875" cy="142875"/>
        </a:xfrm>
        <a:prstGeom prst="downArrow">
          <a:avLst/>
        </a:prstGeom>
        <a:solidFill>
          <a:schemeClr val="accent1"/>
        </a:solidFill>
        <a:ln w="12700" cap="flat" cmpd="sng" algn="ctr">
          <a:solidFill>
            <a:schemeClr val="accent1">
              <a:shade val="50000"/>
            </a:schemeClr>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US" sz="1100"/>
        </a:p>
      </xdr:txBody>
    </xdr:sp>
    <xdr:clientData fLocksWithSheet="0"/>
  </xdr:oneCellAnchor>
  <xdr:oneCellAnchor>
    <xdr:from>
      <xdr:col>8</xdr:col>
      <xdr:colOff>28575</xdr:colOff>
      <xdr:row>47</xdr:row>
      <xdr:rowOff>9525</xdr:rowOff>
    </xdr:from>
    <xdr:ext cx="180975" cy="190500"/>
    <xdr:sp macro="" textlink="">
      <xdr:nvSpPr>
        <xdr:cNvPr id="18" name="Rectangle 17">
          <a:extLst/>
        </xdr:cNvPr>
        <xdr:cNvSpPr/>
      </xdr:nvSpPr>
      <xdr:spPr>
        <a:xfrm>
          <a:off x="4067175" y="9115425"/>
          <a:ext cx="180975" cy="190500"/>
        </a:xfrm>
        <a:prstGeom prst="rect">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US" sz="1100"/>
        </a:p>
      </xdr:txBody>
    </xdr:sp>
    <xdr:clientData fLocksWithSheet="0"/>
  </xdr:oneCellAnchor>
  <xdr:oneCellAnchor>
    <xdr:from>
      <xdr:col>7</xdr:col>
      <xdr:colOff>381000</xdr:colOff>
      <xdr:row>49</xdr:row>
      <xdr:rowOff>161925</xdr:rowOff>
    </xdr:from>
    <xdr:ext cx="704850" cy="457200"/>
    <xdr:sp macro="" textlink="">
      <xdr:nvSpPr>
        <xdr:cNvPr id="19" name="TextBox 18">
          <a:extLst/>
        </xdr:cNvPr>
        <xdr:cNvSpPr txBox="1"/>
      </xdr:nvSpPr>
      <xdr:spPr>
        <a:xfrm>
          <a:off x="3914775" y="9648825"/>
          <a:ext cx="704850" cy="4572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lvl="0"/>
          <a:endParaRPr lang="en-US" sz="1600"/>
        </a:p>
      </xdr:txBody>
    </xdr:sp>
    <xdr:clientData fLocksWithSheet="0"/>
  </xdr:oneCellAnchor>
  <xdr:oneCellAnchor>
    <xdr:from>
      <xdr:col>10</xdr:col>
      <xdr:colOff>219075</xdr:colOff>
      <xdr:row>22</xdr:row>
      <xdr:rowOff>57150</xdr:rowOff>
    </xdr:from>
    <xdr:ext cx="3648075" cy="2667000"/>
    <xdr:pic>
      <xdr:nvPicPr>
        <xdr:cNvPr id="20" name="image1.png"/>
        <xdr:cNvPicPr preferRelativeResize="0"/>
      </xdr:nvPicPr>
      <xdr:blipFill>
        <a:blip xmlns:r="http://schemas.openxmlformats.org/officeDocument/2006/relationships" r:embed="rId1" cstate="print"/>
        <a:stretch>
          <a:fillRect/>
        </a:stretch>
      </xdr:blipFill>
      <xdr:spPr>
        <a:xfrm>
          <a:off x="5267325" y="4400550"/>
          <a:ext cx="3648075" cy="2667000"/>
        </a:xfrm>
        <a:prstGeom prst="rect">
          <a:avLst/>
        </a:prstGeom>
        <a:noFill/>
      </xdr:spPr>
    </xdr:pic>
    <xdr:clientData fLocksWithSheet="0"/>
  </xdr:oneCellAnchor>
  <xdr:oneCellAnchor>
    <xdr:from>
      <xdr:col>0</xdr:col>
      <xdr:colOff>466725</xdr:colOff>
      <xdr:row>37</xdr:row>
      <xdr:rowOff>171450</xdr:rowOff>
    </xdr:from>
    <xdr:ext cx="3133725" cy="1619250"/>
    <xdr:pic>
      <xdr:nvPicPr>
        <xdr:cNvPr id="21" name="image2.png"/>
        <xdr:cNvPicPr preferRelativeResize="0"/>
      </xdr:nvPicPr>
      <xdr:blipFill>
        <a:blip xmlns:r="http://schemas.openxmlformats.org/officeDocument/2006/relationships" r:embed="rId2" cstate="print"/>
        <a:stretch>
          <a:fillRect/>
        </a:stretch>
      </xdr:blipFill>
      <xdr:spPr>
        <a:xfrm>
          <a:off x="466725" y="7372350"/>
          <a:ext cx="3133725" cy="1619250"/>
        </a:xfrm>
        <a:prstGeom prst="rect">
          <a:avLst/>
        </a:prstGeom>
        <a:noFill/>
      </xdr:spPr>
    </xdr:pic>
    <xdr:clientData fLocksWithSheet="0"/>
  </xdr:oneCellAnchor>
  <xdr:oneCellAnchor>
    <xdr:from>
      <xdr:col>2</xdr:col>
      <xdr:colOff>66675</xdr:colOff>
      <xdr:row>47</xdr:row>
      <xdr:rowOff>114300</xdr:rowOff>
    </xdr:from>
    <xdr:ext cx="1943100" cy="1552575"/>
    <xdr:pic>
      <xdr:nvPicPr>
        <xdr:cNvPr id="22" name="image3.png"/>
        <xdr:cNvPicPr preferRelativeResize="0"/>
      </xdr:nvPicPr>
      <xdr:blipFill>
        <a:blip xmlns:r="http://schemas.openxmlformats.org/officeDocument/2006/relationships" r:embed="rId3" cstate="print"/>
        <a:stretch>
          <a:fillRect/>
        </a:stretch>
      </xdr:blipFill>
      <xdr:spPr>
        <a:xfrm>
          <a:off x="1076325" y="9220200"/>
          <a:ext cx="1943100" cy="1552575"/>
        </a:xfrm>
        <a:prstGeom prst="rect">
          <a:avLst/>
        </a:prstGeom>
        <a:noFill/>
      </xdr:spPr>
    </xdr:pic>
    <xdr:clientData fLocksWithSheet="0"/>
  </xdr:oneCellAnchor>
  <xdr:oneCellAnchor>
    <xdr:from>
      <xdr:col>2</xdr:col>
      <xdr:colOff>85725</xdr:colOff>
      <xdr:row>56</xdr:row>
      <xdr:rowOff>180975</xdr:rowOff>
    </xdr:from>
    <xdr:ext cx="1800225" cy="523875"/>
    <xdr:pic>
      <xdr:nvPicPr>
        <xdr:cNvPr id="23" name="image4.png"/>
        <xdr:cNvPicPr preferRelativeResize="0"/>
      </xdr:nvPicPr>
      <xdr:blipFill>
        <a:blip xmlns:r="http://schemas.openxmlformats.org/officeDocument/2006/relationships" r:embed="rId4" cstate="print"/>
        <a:stretch>
          <a:fillRect/>
        </a:stretch>
      </xdr:blipFill>
      <xdr:spPr>
        <a:xfrm>
          <a:off x="1095375" y="11001375"/>
          <a:ext cx="1800225" cy="523875"/>
        </a:xfrm>
        <a:prstGeom prst="rect">
          <a:avLst/>
        </a:prstGeom>
        <a:noFill/>
      </xdr:spPr>
    </xdr:pic>
    <xdr:clientData fLocksWithSheet="0"/>
  </xdr:oneCellAnchor>
  <xdr:oneCellAnchor>
    <xdr:from>
      <xdr:col>1</xdr:col>
      <xdr:colOff>104775</xdr:colOff>
      <xdr:row>49</xdr:row>
      <xdr:rowOff>171450</xdr:rowOff>
    </xdr:from>
    <xdr:ext cx="352425" cy="1609725"/>
    <xdr:pic>
      <xdr:nvPicPr>
        <xdr:cNvPr id="24" name="image5.png"/>
        <xdr:cNvPicPr preferRelativeResize="0"/>
      </xdr:nvPicPr>
      <xdr:blipFill>
        <a:blip xmlns:r="http://schemas.openxmlformats.org/officeDocument/2006/relationships" r:embed="rId5" cstate="print"/>
        <a:stretch>
          <a:fillRect/>
        </a:stretch>
      </xdr:blipFill>
      <xdr:spPr>
        <a:xfrm>
          <a:off x="609600" y="9658350"/>
          <a:ext cx="352425" cy="1609725"/>
        </a:xfrm>
        <a:prstGeom prst="rect">
          <a:avLst/>
        </a:prstGeom>
        <a:noFill/>
      </xdr:spPr>
    </xdr:pic>
    <xdr:clientData fLocksWithSheet="0"/>
  </xdr:oneCellAnchor>
  <xdr:oneCellAnchor>
    <xdr:from>
      <xdr:col>0</xdr:col>
      <xdr:colOff>257175</xdr:colOff>
      <xdr:row>62</xdr:row>
      <xdr:rowOff>66675</xdr:rowOff>
    </xdr:from>
    <xdr:ext cx="3533775" cy="1085850"/>
    <xdr:pic>
      <xdr:nvPicPr>
        <xdr:cNvPr id="25" name="image6.png"/>
        <xdr:cNvPicPr preferRelativeResize="0"/>
      </xdr:nvPicPr>
      <xdr:blipFill>
        <a:blip xmlns:r="http://schemas.openxmlformats.org/officeDocument/2006/relationships" r:embed="rId6" cstate="print"/>
        <a:stretch>
          <a:fillRect/>
        </a:stretch>
      </xdr:blipFill>
      <xdr:spPr>
        <a:xfrm>
          <a:off x="257175" y="12030075"/>
          <a:ext cx="3533775" cy="1085850"/>
        </a:xfrm>
        <a:prstGeom prst="rect">
          <a:avLst/>
        </a:prstGeom>
        <a:noFill/>
      </xdr:spPr>
    </xdr:pic>
    <xdr:clientData fLocksWithSheet="0"/>
  </xdr:oneCellAnchor>
  <xdr:oneCellAnchor>
    <xdr:from>
      <xdr:col>41</xdr:col>
      <xdr:colOff>19050</xdr:colOff>
      <xdr:row>17</xdr:row>
      <xdr:rowOff>152400</xdr:rowOff>
    </xdr:from>
    <xdr:ext cx="3838575" cy="4438650"/>
    <xdr:pic>
      <xdr:nvPicPr>
        <xdr:cNvPr id="26" name="image7.png"/>
        <xdr:cNvPicPr preferRelativeResize="0"/>
      </xdr:nvPicPr>
      <xdr:blipFill>
        <a:blip xmlns:r="http://schemas.openxmlformats.org/officeDocument/2006/relationships" r:embed="rId7" cstate="print"/>
        <a:stretch>
          <a:fillRect/>
        </a:stretch>
      </xdr:blipFill>
      <xdr:spPr>
        <a:xfrm>
          <a:off x="16383000" y="3543300"/>
          <a:ext cx="3838575" cy="4438650"/>
        </a:xfrm>
        <a:prstGeom prst="rect">
          <a:avLst/>
        </a:prstGeom>
        <a:noFill/>
      </xdr:spPr>
    </xdr:pic>
    <xdr:clientData fLocksWithSheet="0"/>
  </xdr:oneCellAnchor>
  <xdr:oneCellAnchor>
    <xdr:from>
      <xdr:col>41</xdr:col>
      <xdr:colOff>476250</xdr:colOff>
      <xdr:row>0</xdr:row>
      <xdr:rowOff>228600</xdr:rowOff>
    </xdr:from>
    <xdr:ext cx="2905125" cy="3295650"/>
    <xdr:pic>
      <xdr:nvPicPr>
        <xdr:cNvPr id="27" name="image8.png"/>
        <xdr:cNvPicPr preferRelativeResize="0"/>
      </xdr:nvPicPr>
      <xdr:blipFill>
        <a:blip xmlns:r="http://schemas.openxmlformats.org/officeDocument/2006/relationships" r:embed="rId8" cstate="print"/>
        <a:stretch>
          <a:fillRect/>
        </a:stretch>
      </xdr:blipFill>
      <xdr:spPr>
        <a:xfrm>
          <a:off x="16840200" y="228600"/>
          <a:ext cx="2905125" cy="3295650"/>
        </a:xfrm>
        <a:prstGeom prst="rect">
          <a:avLst/>
        </a:prstGeom>
        <a:noFill/>
      </xdr:spPr>
    </xdr:pic>
    <xdr:clientData fLocksWithSheet="0"/>
  </xdr:oneCellAnchor>
  <xdr:oneCellAnchor>
    <xdr:from>
      <xdr:col>10</xdr:col>
      <xdr:colOff>152400</xdr:colOff>
      <xdr:row>15</xdr:row>
      <xdr:rowOff>9525</xdr:rowOff>
    </xdr:from>
    <xdr:ext cx="3829050" cy="1238250"/>
    <xdr:pic>
      <xdr:nvPicPr>
        <xdr:cNvPr id="28" name="image9.png"/>
        <xdr:cNvPicPr preferRelativeResize="0"/>
      </xdr:nvPicPr>
      <xdr:blipFill>
        <a:blip xmlns:r="http://schemas.openxmlformats.org/officeDocument/2006/relationships" r:embed="rId9" cstate="print"/>
        <a:stretch>
          <a:fillRect/>
        </a:stretch>
      </xdr:blipFill>
      <xdr:spPr>
        <a:xfrm>
          <a:off x="5200650" y="3019425"/>
          <a:ext cx="3829050" cy="1238250"/>
        </a:xfrm>
        <a:prstGeom prst="rect">
          <a:avLst/>
        </a:prstGeom>
        <a:noFill/>
      </xdr:spPr>
    </xdr:pic>
    <xdr:clientData fLocksWithSheet="0"/>
  </xdr:oneCellAnchor>
  <xdr:oneCellAnchor>
    <xdr:from>
      <xdr:col>7</xdr:col>
      <xdr:colOff>209550</xdr:colOff>
      <xdr:row>34</xdr:row>
      <xdr:rowOff>47625</xdr:rowOff>
    </xdr:from>
    <xdr:ext cx="1238250" cy="1276350"/>
    <xdr:pic>
      <xdr:nvPicPr>
        <xdr:cNvPr id="29" name="image10.jpg"/>
        <xdr:cNvPicPr preferRelativeResize="0"/>
      </xdr:nvPicPr>
      <xdr:blipFill>
        <a:blip xmlns:r="http://schemas.openxmlformats.org/officeDocument/2006/relationships" r:embed="rId10" cstate="print"/>
        <a:stretch>
          <a:fillRect/>
        </a:stretch>
      </xdr:blipFill>
      <xdr:spPr>
        <a:xfrm>
          <a:off x="3743325" y="6677025"/>
          <a:ext cx="1238250" cy="1276350"/>
        </a:xfrm>
        <a:prstGeom prst="rect">
          <a:avLst/>
        </a:prstGeom>
        <a:noFill/>
      </xdr:spPr>
    </xdr:pic>
    <xdr:clientData fLocksWithSheet="0"/>
  </xdr:oneCellAnchor>
  <xdr:oneCellAnchor>
    <xdr:from>
      <xdr:col>7</xdr:col>
      <xdr:colOff>352425</xdr:colOff>
      <xdr:row>41</xdr:row>
      <xdr:rowOff>95250</xdr:rowOff>
    </xdr:from>
    <xdr:ext cx="1152525" cy="781050"/>
    <xdr:pic>
      <xdr:nvPicPr>
        <xdr:cNvPr id="30" name="image11.png"/>
        <xdr:cNvPicPr preferRelativeResize="0"/>
      </xdr:nvPicPr>
      <xdr:blipFill>
        <a:blip xmlns:r="http://schemas.openxmlformats.org/officeDocument/2006/relationships" r:embed="rId11" cstate="print"/>
        <a:stretch>
          <a:fillRect/>
        </a:stretch>
      </xdr:blipFill>
      <xdr:spPr>
        <a:xfrm>
          <a:off x="3886200" y="8058150"/>
          <a:ext cx="1152525" cy="781050"/>
        </a:xfrm>
        <a:prstGeom prst="rect">
          <a:avLst/>
        </a:prstGeom>
        <a:noFill/>
      </xdr:spPr>
    </xdr:pic>
    <xdr:clientData fLocksWithSheet="0"/>
  </xdr:oneCellAnchor>
  <xdr:oneCellAnchor>
    <xdr:from>
      <xdr:col>7</xdr:col>
      <xdr:colOff>285750</xdr:colOff>
      <xdr:row>45</xdr:row>
      <xdr:rowOff>0</xdr:rowOff>
    </xdr:from>
    <xdr:ext cx="1114425" cy="800100"/>
    <xdr:pic>
      <xdr:nvPicPr>
        <xdr:cNvPr id="31" name="image12.png"/>
        <xdr:cNvPicPr preferRelativeResize="0"/>
      </xdr:nvPicPr>
      <xdr:blipFill>
        <a:blip xmlns:r="http://schemas.openxmlformats.org/officeDocument/2006/relationships" r:embed="rId12" cstate="print"/>
        <a:stretch>
          <a:fillRect/>
        </a:stretch>
      </xdr:blipFill>
      <xdr:spPr>
        <a:xfrm>
          <a:off x="3819525" y="8724900"/>
          <a:ext cx="1114425"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419100</xdr:colOff>
      <xdr:row>0</xdr:row>
      <xdr:rowOff>0</xdr:rowOff>
    </xdr:from>
    <xdr:to>
      <xdr:col>23</xdr:col>
      <xdr:colOff>590550</xdr:colOff>
      <xdr:row>28</xdr:row>
      <xdr:rowOff>19050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6515100" y="0"/>
          <a:ext cx="8096250" cy="4552950"/>
        </a:xfrm>
        <a:prstGeom prst="rect">
          <a:avLst/>
        </a:prstGeom>
        <a:noFill/>
        <a:ln w="1">
          <a:noFill/>
          <a:miter lim="800000"/>
          <a:headEnd/>
          <a:tailEnd/>
        </a:ln>
      </xdr:spPr>
    </xdr:pic>
    <xdr:clientData/>
  </xdr:twoCellAnchor>
  <xdr:twoCellAnchor editAs="oneCell">
    <xdr:from>
      <xdr:col>10</xdr:col>
      <xdr:colOff>447675</xdr:colOff>
      <xdr:row>27</xdr:row>
      <xdr:rowOff>114300</xdr:rowOff>
    </xdr:from>
    <xdr:to>
      <xdr:col>24</xdr:col>
      <xdr:colOff>19050</xdr:colOff>
      <xdr:row>53</xdr:row>
      <xdr:rowOff>47625</xdr:rowOff>
    </xdr:to>
    <xdr:pic>
      <xdr:nvPicPr>
        <xdr:cNvPr id="3" name="Picture 9"/>
        <xdr:cNvPicPr>
          <a:picLocks noChangeAspect="1" noChangeArrowheads="1"/>
        </xdr:cNvPicPr>
      </xdr:nvPicPr>
      <xdr:blipFill>
        <a:blip xmlns:r="http://schemas.openxmlformats.org/officeDocument/2006/relationships" r:embed="rId2"/>
        <a:srcRect/>
        <a:stretch>
          <a:fillRect/>
        </a:stretch>
      </xdr:blipFill>
      <xdr:spPr bwMode="auto">
        <a:xfrm>
          <a:off x="6543675" y="4486275"/>
          <a:ext cx="8105775" cy="41433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ivilmdc.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8"/>
  <sheetViews>
    <sheetView zoomScale="80" zoomScaleNormal="80" workbookViewId="0">
      <selection activeCell="E4" sqref="E4"/>
    </sheetView>
  </sheetViews>
  <sheetFormatPr defaultColWidth="9.1640625" defaultRowHeight="20.25"/>
  <cols>
    <col min="1" max="1" width="28.25" style="3" customWidth="1"/>
    <col min="2" max="2" width="5.1640625" style="1" customWidth="1"/>
    <col min="3" max="3" width="5.58203125" style="1" bestFit="1" customWidth="1"/>
    <col min="4" max="4" width="6.58203125" style="2" customWidth="1"/>
    <col min="5" max="5" width="14.6640625" style="3" customWidth="1"/>
    <col min="6" max="6" width="17.1640625" style="3" bestFit="1" customWidth="1"/>
    <col min="7" max="7" width="17.25" style="3" customWidth="1"/>
    <col min="8" max="9" width="9.1640625" style="3"/>
    <col min="10" max="10" width="21.25" style="3" customWidth="1"/>
    <col min="11" max="16384" width="9.1640625" style="3"/>
  </cols>
  <sheetData>
    <row r="2" spans="1:18">
      <c r="A2" s="158" t="s">
        <v>2</v>
      </c>
      <c r="B2" s="1" t="s">
        <v>1</v>
      </c>
      <c r="C2" s="156">
        <v>45</v>
      </c>
      <c r="D2" s="2" t="s">
        <v>0</v>
      </c>
      <c r="E2" s="4">
        <f>C2/2.5</f>
        <v>18</v>
      </c>
      <c r="H2" s="3" t="s">
        <v>5</v>
      </c>
      <c r="I2" s="4">
        <v>0.22480894387095998</v>
      </c>
      <c r="J2" s="3" t="s">
        <v>6</v>
      </c>
      <c r="O2" s="9">
        <v>3000</v>
      </c>
      <c r="P2" s="9" t="s">
        <v>13</v>
      </c>
      <c r="Q2" s="9">
        <f>O2/145</f>
        <v>20.689655172413794</v>
      </c>
      <c r="R2" s="9" t="s">
        <v>14</v>
      </c>
    </row>
    <row r="3" spans="1:18">
      <c r="A3" s="158" t="s">
        <v>3</v>
      </c>
      <c r="B3" s="1" t="s">
        <v>1</v>
      </c>
      <c r="C3" s="156">
        <v>14</v>
      </c>
      <c r="D3" s="2" t="s">
        <v>4</v>
      </c>
    </row>
    <row r="4" spans="1:18" ht="81">
      <c r="A4" s="158" t="s">
        <v>17</v>
      </c>
      <c r="B4" s="1" t="s">
        <v>1</v>
      </c>
      <c r="C4" s="156">
        <v>300</v>
      </c>
      <c r="D4" s="2" t="s">
        <v>7</v>
      </c>
      <c r="E4" s="161" t="s">
        <v>16</v>
      </c>
    </row>
    <row r="5" spans="1:18">
      <c r="A5" s="158" t="s">
        <v>8</v>
      </c>
      <c r="B5" s="1" t="s">
        <v>1</v>
      </c>
      <c r="C5" s="156">
        <v>6080</v>
      </c>
      <c r="D5" s="2" t="s">
        <v>7</v>
      </c>
    </row>
    <row r="6" spans="1:18">
      <c r="A6" s="158" t="s">
        <v>15</v>
      </c>
      <c r="B6" s="1" t="s">
        <v>1</v>
      </c>
      <c r="C6" s="157">
        <f>C5*1.1</f>
        <v>6688.0000000000009</v>
      </c>
      <c r="D6" s="2" t="s">
        <v>7</v>
      </c>
    </row>
    <row r="7" spans="1:18">
      <c r="A7" s="158" t="s">
        <v>9</v>
      </c>
      <c r="B7" s="1" t="s">
        <v>1</v>
      </c>
      <c r="C7" s="158">
        <f>ROUNDUP((C6/C4),0)</f>
        <v>23</v>
      </c>
    </row>
    <row r="8" spans="1:18">
      <c r="A8" s="158"/>
      <c r="C8" s="158"/>
    </row>
    <row r="9" spans="1:18">
      <c r="A9" s="158" t="s">
        <v>10</v>
      </c>
      <c r="B9" s="1" t="s">
        <v>1</v>
      </c>
      <c r="C9" s="159">
        <v>1</v>
      </c>
      <c r="E9" s="6" t="s">
        <v>18</v>
      </c>
    </row>
    <row r="10" spans="1:18">
      <c r="A10" s="158"/>
      <c r="B10" s="1" t="s">
        <v>1</v>
      </c>
      <c r="C10" s="158">
        <f>C2*C9</f>
        <v>45</v>
      </c>
      <c r="D10" s="2" t="s">
        <v>0</v>
      </c>
    </row>
    <row r="11" spans="1:18">
      <c r="A11" s="158"/>
      <c r="C11" s="158"/>
    </row>
    <row r="12" spans="1:18">
      <c r="A12" s="158" t="s">
        <v>12</v>
      </c>
      <c r="B12" s="1" t="s">
        <v>1</v>
      </c>
      <c r="C12" s="160">
        <v>2.5</v>
      </c>
      <c r="E12" s="6" t="s">
        <v>19</v>
      </c>
    </row>
    <row r="13" spans="1:18">
      <c r="B13" s="1" t="s">
        <v>1</v>
      </c>
      <c r="C13" s="158">
        <f>C2*C12</f>
        <v>112.5</v>
      </c>
      <c r="D13" s="2" t="s">
        <v>0</v>
      </c>
    </row>
    <row r="17" spans="5:7">
      <c r="E17" s="3">
        <v>69</v>
      </c>
      <c r="F17" s="3">
        <f>E17*25</f>
        <v>1725</v>
      </c>
      <c r="G17" s="3" t="s">
        <v>20</v>
      </c>
    </row>
    <row r="18" spans="5:7">
      <c r="E18" s="3">
        <v>13</v>
      </c>
      <c r="F18" s="3">
        <f>E18*25</f>
        <v>325</v>
      </c>
      <c r="G18" s="3" t="s">
        <v>20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3"/>
  <sheetViews>
    <sheetView zoomScale="80" zoomScaleNormal="80" workbookViewId="0">
      <selection activeCell="E4" sqref="E4"/>
    </sheetView>
  </sheetViews>
  <sheetFormatPr defaultColWidth="9.1640625" defaultRowHeight="20.25"/>
  <cols>
    <col min="1" max="1" width="28.75" style="3" bestFit="1" customWidth="1"/>
    <col min="2" max="2" width="5.1640625" style="1" customWidth="1"/>
    <col min="3" max="3" width="5.58203125" style="1" bestFit="1" customWidth="1"/>
    <col min="4" max="4" width="3.9140625" style="2" bestFit="1" customWidth="1"/>
    <col min="5" max="5" width="16.5" style="3" customWidth="1"/>
    <col min="6" max="6" width="17.1640625" style="3" bestFit="1" customWidth="1"/>
    <col min="7" max="7" width="17.25" style="3" customWidth="1"/>
    <col min="8" max="9" width="9.1640625" style="3"/>
    <col min="10" max="10" width="21.25" style="3" customWidth="1"/>
    <col min="11" max="16384" width="9.1640625" style="3"/>
  </cols>
  <sheetData>
    <row r="2" spans="1:18">
      <c r="A2" s="3" t="s">
        <v>2</v>
      </c>
      <c r="B2" s="1" t="s">
        <v>1</v>
      </c>
      <c r="C2" s="5">
        <v>20</v>
      </c>
      <c r="D2" s="2" t="s">
        <v>11</v>
      </c>
      <c r="E2" s="4">
        <f>C2/2.5</f>
        <v>8</v>
      </c>
      <c r="H2" s="3" t="s">
        <v>5</v>
      </c>
      <c r="I2" s="4">
        <v>0.22480894387095998</v>
      </c>
      <c r="J2" s="3" t="s">
        <v>6</v>
      </c>
      <c r="O2" s="9">
        <v>3000</v>
      </c>
      <c r="P2" s="9" t="s">
        <v>13</v>
      </c>
      <c r="Q2" s="9">
        <f>O2/145</f>
        <v>20.689655172413794</v>
      </c>
      <c r="R2" s="9" t="s">
        <v>14</v>
      </c>
    </row>
    <row r="3" spans="1:18">
      <c r="A3" s="3" t="s">
        <v>3</v>
      </c>
      <c r="B3" s="1" t="s">
        <v>1</v>
      </c>
      <c r="C3" s="5">
        <v>50</v>
      </c>
      <c r="D3" s="2" t="s">
        <v>21</v>
      </c>
      <c r="H3" s="3" t="s">
        <v>22</v>
      </c>
      <c r="I3" s="3">
        <v>2.2000000000000002</v>
      </c>
      <c r="J3" s="3" t="s">
        <v>6</v>
      </c>
    </row>
    <row r="4" spans="1:18" ht="60.75">
      <c r="A4" s="3" t="s">
        <v>17</v>
      </c>
      <c r="B4" s="1" t="s">
        <v>1</v>
      </c>
      <c r="C4" s="5">
        <v>70.400000000000006</v>
      </c>
      <c r="D4" s="2" t="s">
        <v>23</v>
      </c>
      <c r="E4" s="161" t="s">
        <v>16</v>
      </c>
      <c r="L4" s="3">
        <f>32*2.2</f>
        <v>70.400000000000006</v>
      </c>
      <c r="M4" s="3" t="s">
        <v>24</v>
      </c>
    </row>
    <row r="5" spans="1:18">
      <c r="A5" s="3" t="s">
        <v>8</v>
      </c>
      <c r="B5" s="1" t="s">
        <v>1</v>
      </c>
      <c r="C5" s="5">
        <v>185</v>
      </c>
      <c r="D5" s="2" t="s">
        <v>23</v>
      </c>
    </row>
    <row r="6" spans="1:18">
      <c r="A6" s="3" t="s">
        <v>15</v>
      </c>
      <c r="B6" s="1" t="s">
        <v>1</v>
      </c>
      <c r="C6" s="10">
        <f>C5*1.1</f>
        <v>203.50000000000003</v>
      </c>
      <c r="D6" s="2" t="s">
        <v>23</v>
      </c>
    </row>
    <row r="7" spans="1:18">
      <c r="A7" s="3" t="s">
        <v>9</v>
      </c>
      <c r="B7" s="1" t="s">
        <v>1</v>
      </c>
      <c r="C7" s="1">
        <f>ROUNDUP((C6/C4),0)</f>
        <v>3</v>
      </c>
    </row>
    <row r="9" spans="1:18">
      <c r="A9" s="3" t="s">
        <v>10</v>
      </c>
      <c r="B9" s="1" t="s">
        <v>1</v>
      </c>
      <c r="C9" s="7">
        <v>1</v>
      </c>
      <c r="E9" s="6" t="s">
        <v>18</v>
      </c>
    </row>
    <row r="10" spans="1:18">
      <c r="B10" s="1" t="s">
        <v>1</v>
      </c>
      <c r="C10" s="1">
        <f>C2*C9</f>
        <v>20</v>
      </c>
      <c r="D10" s="2" t="s">
        <v>11</v>
      </c>
    </row>
    <row r="12" spans="1:18">
      <c r="A12" s="3" t="s">
        <v>12</v>
      </c>
      <c r="B12" s="1" t="s">
        <v>1</v>
      </c>
      <c r="C12" s="8">
        <v>2.5</v>
      </c>
      <c r="E12" s="6" t="s">
        <v>19</v>
      </c>
    </row>
    <row r="13" spans="1:18">
      <c r="B13" s="1" t="s">
        <v>1</v>
      </c>
      <c r="C13" s="1">
        <f>C2*C12</f>
        <v>50</v>
      </c>
      <c r="D13" s="2" t="s">
        <v>11</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tabSelected="1" workbookViewId="0">
      <selection activeCell="A2" sqref="A2:K2"/>
    </sheetView>
  </sheetViews>
  <sheetFormatPr defaultColWidth="9.1640625" defaultRowHeight="18.75"/>
  <cols>
    <col min="1" max="1" width="10.75" style="16" customWidth="1"/>
    <col min="2" max="2" width="9.58203125" style="16" customWidth="1"/>
    <col min="3" max="3" width="9.1640625" style="16"/>
    <col min="4" max="4" width="16.75" style="16" customWidth="1"/>
    <col min="5" max="5" width="10.58203125" style="16" customWidth="1"/>
    <col min="6" max="6" width="10.75" style="16" customWidth="1"/>
    <col min="7" max="7" width="18.83203125" style="16" customWidth="1"/>
    <col min="8" max="8" width="14.75" style="16" customWidth="1"/>
    <col min="9" max="9" width="15.25" style="16" customWidth="1"/>
    <col min="10" max="10" width="17.83203125" style="16" customWidth="1"/>
    <col min="11" max="11" width="15.4140625" style="16" customWidth="1"/>
    <col min="12" max="16384" width="9.1640625" style="16"/>
  </cols>
  <sheetData>
    <row r="1" spans="1:11" s="11" customFormat="1" ht="31.5" customHeight="1">
      <c r="A1" s="164" t="s">
        <v>25</v>
      </c>
      <c r="B1" s="164"/>
      <c r="C1" s="164"/>
      <c r="D1" s="164"/>
      <c r="E1" s="164"/>
      <c r="F1" s="164"/>
      <c r="G1" s="164"/>
      <c r="H1" s="164"/>
      <c r="I1" s="164"/>
      <c r="J1" s="164"/>
      <c r="K1" s="164"/>
    </row>
    <row r="2" spans="1:11" s="11" customFormat="1" ht="30.4" customHeight="1">
      <c r="A2" s="165"/>
      <c r="B2" s="165"/>
      <c r="C2" s="165"/>
      <c r="D2" s="165"/>
      <c r="E2" s="165"/>
      <c r="F2" s="165"/>
      <c r="G2" s="165"/>
      <c r="H2" s="165"/>
      <c r="I2" s="165"/>
      <c r="J2" s="165"/>
      <c r="K2" s="165"/>
    </row>
    <row r="3" spans="1:11" s="11" customFormat="1"/>
    <row r="4" spans="1:11" s="13" customFormat="1" ht="42" customHeight="1">
      <c r="A4" s="162" t="s">
        <v>26</v>
      </c>
      <c r="B4" s="162"/>
      <c r="C4" s="12">
        <v>20</v>
      </c>
      <c r="D4" s="13" t="s">
        <v>27</v>
      </c>
      <c r="G4" s="13" t="s">
        <v>28</v>
      </c>
      <c r="H4" s="14">
        <v>1</v>
      </c>
    </row>
    <row r="5" spans="1:11" ht="21" customHeight="1">
      <c r="A5" s="163" t="s">
        <v>29</v>
      </c>
      <c r="B5" s="163"/>
      <c r="C5" s="15">
        <v>3</v>
      </c>
    </row>
    <row r="7" spans="1:11" s="18" customFormat="1" ht="88.15" customHeight="1">
      <c r="A7" s="17" t="s">
        <v>30</v>
      </c>
      <c r="B7" s="17" t="s">
        <v>31</v>
      </c>
      <c r="C7" s="17" t="s">
        <v>32</v>
      </c>
      <c r="D7" s="17" t="s">
        <v>33</v>
      </c>
      <c r="E7" s="17" t="s">
        <v>34</v>
      </c>
      <c r="F7" s="17" t="s">
        <v>35</v>
      </c>
      <c r="G7" s="17" t="s">
        <v>36</v>
      </c>
      <c r="H7" s="17" t="s">
        <v>37</v>
      </c>
      <c r="I7" s="17" t="s">
        <v>38</v>
      </c>
      <c r="J7" s="17" t="s">
        <v>39</v>
      </c>
      <c r="K7" s="17" t="s">
        <v>40</v>
      </c>
    </row>
    <row r="8" spans="1:11">
      <c r="A8" s="19">
        <v>0</v>
      </c>
      <c r="B8" s="19">
        <f>A8</f>
        <v>0</v>
      </c>
      <c r="C8" s="20">
        <v>0</v>
      </c>
      <c r="D8" s="19">
        <f t="shared" ref="D8:D28" si="0">IF(C8&gt;15,C8-(C8-15)/2,C8)</f>
        <v>0</v>
      </c>
      <c r="E8" s="19">
        <v>0</v>
      </c>
      <c r="F8" s="19">
        <f t="shared" ref="F8:F28" si="1">3.1416*C$4*A8/12</f>
        <v>0</v>
      </c>
      <c r="G8" s="21">
        <f>0.02*D8/C$5</f>
        <v>0</v>
      </c>
      <c r="H8" s="22">
        <f>G8*F8</f>
        <v>0</v>
      </c>
      <c r="I8" s="22">
        <f>H8*F8</f>
        <v>0</v>
      </c>
      <c r="J8" s="22">
        <f t="shared" ref="J8:J28" si="2">4*D8/C$5*3.1416*C$4*C$4/4/144</f>
        <v>0</v>
      </c>
      <c r="K8" s="23">
        <f>0.75*(I8+J8)</f>
        <v>0</v>
      </c>
    </row>
    <row r="9" spans="1:11">
      <c r="A9" s="19">
        <v>5</v>
      </c>
      <c r="B9" s="19">
        <f t="shared" ref="B9:B28" si="3">B8+A9</f>
        <v>5</v>
      </c>
      <c r="C9" s="20">
        <v>2</v>
      </c>
      <c r="D9" s="19">
        <f t="shared" si="0"/>
        <v>2</v>
      </c>
      <c r="E9" s="19">
        <f>(D8+D9)/2</f>
        <v>1</v>
      </c>
      <c r="F9" s="19">
        <f t="shared" si="1"/>
        <v>26.180000000000003</v>
      </c>
      <c r="G9" s="21">
        <f t="shared" ref="G9:G28" si="4">0.02*E9/C$5</f>
        <v>6.6666666666666671E-3</v>
      </c>
      <c r="H9" s="22">
        <f>G9*F9</f>
        <v>0.17453333333333337</v>
      </c>
      <c r="I9" s="22">
        <f>I8+H9</f>
        <v>0.17453333333333337</v>
      </c>
      <c r="J9" s="22">
        <f t="shared" si="2"/>
        <v>5.8177777777777777</v>
      </c>
      <c r="K9" s="23">
        <f t="shared" ref="K9:K28" si="5">0.75*(I9+J9)</f>
        <v>4.4942333333333337</v>
      </c>
    </row>
    <row r="10" spans="1:11">
      <c r="A10" s="19">
        <v>5</v>
      </c>
      <c r="B10" s="19">
        <f t="shared" si="3"/>
        <v>10</v>
      </c>
      <c r="C10" s="20">
        <v>5</v>
      </c>
      <c r="D10" s="19">
        <f t="shared" si="0"/>
        <v>5</v>
      </c>
      <c r="E10" s="19">
        <f t="shared" ref="E10:E28" si="6">(D9+D10)/2</f>
        <v>3.5</v>
      </c>
      <c r="F10" s="19">
        <f t="shared" si="1"/>
        <v>26.180000000000003</v>
      </c>
      <c r="G10" s="21">
        <f t="shared" si="4"/>
        <v>2.3333333333333334E-2</v>
      </c>
      <c r="H10" s="22">
        <f>G10*F10</f>
        <v>0.61086666666666678</v>
      </c>
      <c r="I10" s="22">
        <f t="shared" ref="I10:I28" si="7">I9+H10</f>
        <v>0.7854000000000001</v>
      </c>
      <c r="J10" s="22">
        <f t="shared" si="2"/>
        <v>14.544444444444444</v>
      </c>
      <c r="K10" s="23">
        <f t="shared" si="5"/>
        <v>11.497383333333332</v>
      </c>
    </row>
    <row r="11" spans="1:11">
      <c r="A11" s="19">
        <v>5</v>
      </c>
      <c r="B11" s="19">
        <f t="shared" si="3"/>
        <v>15</v>
      </c>
      <c r="C11" s="20">
        <v>9</v>
      </c>
      <c r="D11" s="19">
        <f t="shared" si="0"/>
        <v>9</v>
      </c>
      <c r="E11" s="19">
        <f t="shared" si="6"/>
        <v>7</v>
      </c>
      <c r="F11" s="19">
        <f t="shared" si="1"/>
        <v>26.180000000000003</v>
      </c>
      <c r="G11" s="21">
        <f t="shared" si="4"/>
        <v>4.6666666666666669E-2</v>
      </c>
      <c r="H11" s="22">
        <f t="shared" ref="H11:H28" si="8">G11*F11</f>
        <v>1.2217333333333336</v>
      </c>
      <c r="I11" s="22">
        <f t="shared" si="7"/>
        <v>2.0071333333333339</v>
      </c>
      <c r="J11" s="22">
        <f t="shared" si="2"/>
        <v>26.179999999999996</v>
      </c>
      <c r="K11" s="23">
        <f t="shared" si="5"/>
        <v>21.140349999999998</v>
      </c>
    </row>
    <row r="12" spans="1:11">
      <c r="A12" s="19">
        <v>5</v>
      </c>
      <c r="B12" s="19">
        <f t="shared" si="3"/>
        <v>20</v>
      </c>
      <c r="C12" s="20">
        <v>11</v>
      </c>
      <c r="D12" s="19">
        <f t="shared" si="0"/>
        <v>11</v>
      </c>
      <c r="E12" s="19">
        <f t="shared" si="6"/>
        <v>10</v>
      </c>
      <c r="F12" s="19">
        <f t="shared" si="1"/>
        <v>26.180000000000003</v>
      </c>
      <c r="G12" s="21">
        <f t="shared" si="4"/>
        <v>6.6666666666666666E-2</v>
      </c>
      <c r="H12" s="22">
        <f t="shared" si="8"/>
        <v>1.7453333333333336</v>
      </c>
      <c r="I12" s="22">
        <f t="shared" si="7"/>
        <v>3.7524666666666677</v>
      </c>
      <c r="J12" s="22">
        <f t="shared" si="2"/>
        <v>31.997777777777774</v>
      </c>
      <c r="K12" s="23">
        <f t="shared" si="5"/>
        <v>26.812683333333332</v>
      </c>
    </row>
    <row r="13" spans="1:11">
      <c r="A13" s="19">
        <v>5</v>
      </c>
      <c r="B13" s="19">
        <f t="shared" si="3"/>
        <v>25</v>
      </c>
      <c r="C13" s="20">
        <v>15</v>
      </c>
      <c r="D13" s="19">
        <f t="shared" si="0"/>
        <v>15</v>
      </c>
      <c r="E13" s="19">
        <f t="shared" si="6"/>
        <v>13</v>
      </c>
      <c r="F13" s="19">
        <f t="shared" si="1"/>
        <v>26.180000000000003</v>
      </c>
      <c r="G13" s="21">
        <f t="shared" si="4"/>
        <v>8.666666666666667E-2</v>
      </c>
      <c r="H13" s="22">
        <f t="shared" si="8"/>
        <v>2.2689333333333339</v>
      </c>
      <c r="I13" s="22">
        <f t="shared" si="7"/>
        <v>6.0214000000000016</v>
      </c>
      <c r="J13" s="22">
        <f t="shared" si="2"/>
        <v>43.63333333333334</v>
      </c>
      <c r="K13" s="23">
        <f t="shared" si="5"/>
        <v>37.241050000000001</v>
      </c>
    </row>
    <row r="14" spans="1:11">
      <c r="A14" s="19">
        <v>5</v>
      </c>
      <c r="B14" s="19">
        <f t="shared" si="3"/>
        <v>30</v>
      </c>
      <c r="C14" s="20">
        <v>9</v>
      </c>
      <c r="D14" s="19">
        <f t="shared" si="0"/>
        <v>9</v>
      </c>
      <c r="E14" s="19">
        <f t="shared" si="6"/>
        <v>12</v>
      </c>
      <c r="F14" s="19">
        <f t="shared" si="1"/>
        <v>26.180000000000003</v>
      </c>
      <c r="G14" s="21">
        <f t="shared" si="4"/>
        <v>0.08</v>
      </c>
      <c r="H14" s="22">
        <f t="shared" si="8"/>
        <v>2.0944000000000003</v>
      </c>
      <c r="I14" s="22">
        <f t="shared" si="7"/>
        <v>8.1158000000000019</v>
      </c>
      <c r="J14" s="22">
        <f t="shared" si="2"/>
        <v>26.179999999999996</v>
      </c>
      <c r="K14" s="23">
        <f t="shared" si="5"/>
        <v>25.72185</v>
      </c>
    </row>
    <row r="15" spans="1:11">
      <c r="A15" s="19">
        <v>5</v>
      </c>
      <c r="B15" s="19">
        <f t="shared" si="3"/>
        <v>35</v>
      </c>
      <c r="C15" s="20">
        <v>6</v>
      </c>
      <c r="D15" s="19">
        <f t="shared" si="0"/>
        <v>6</v>
      </c>
      <c r="E15" s="19">
        <f t="shared" si="6"/>
        <v>7.5</v>
      </c>
      <c r="F15" s="19">
        <f t="shared" si="1"/>
        <v>26.180000000000003</v>
      </c>
      <c r="G15" s="21">
        <f t="shared" si="4"/>
        <v>4.9999999999999996E-2</v>
      </c>
      <c r="H15" s="22">
        <f t="shared" si="8"/>
        <v>1.3090000000000002</v>
      </c>
      <c r="I15" s="22">
        <f t="shared" si="7"/>
        <v>9.4248000000000012</v>
      </c>
      <c r="J15" s="22">
        <f t="shared" si="2"/>
        <v>17.453333333333333</v>
      </c>
      <c r="K15" s="23">
        <f t="shared" si="5"/>
        <v>20.1586</v>
      </c>
    </row>
    <row r="16" spans="1:11">
      <c r="A16" s="19">
        <v>5</v>
      </c>
      <c r="B16" s="19">
        <f t="shared" si="3"/>
        <v>40</v>
      </c>
      <c r="C16" s="20">
        <v>7</v>
      </c>
      <c r="D16" s="19">
        <f t="shared" si="0"/>
        <v>7</v>
      </c>
      <c r="E16" s="19">
        <f t="shared" si="6"/>
        <v>6.5</v>
      </c>
      <c r="F16" s="19">
        <f t="shared" si="1"/>
        <v>26.180000000000003</v>
      </c>
      <c r="G16" s="21">
        <f t="shared" si="4"/>
        <v>4.3333333333333335E-2</v>
      </c>
      <c r="H16" s="22">
        <f t="shared" si="8"/>
        <v>1.134466666666667</v>
      </c>
      <c r="I16" s="22">
        <f t="shared" si="7"/>
        <v>10.559266666666668</v>
      </c>
      <c r="J16" s="22">
        <f t="shared" si="2"/>
        <v>20.362222222222222</v>
      </c>
      <c r="K16" s="23">
        <f t="shared" si="5"/>
        <v>23.191116666666666</v>
      </c>
    </row>
    <row r="17" spans="1:11">
      <c r="A17" s="19">
        <v>5</v>
      </c>
      <c r="B17" s="19">
        <f t="shared" si="3"/>
        <v>45</v>
      </c>
      <c r="C17" s="20">
        <v>10</v>
      </c>
      <c r="D17" s="19">
        <f t="shared" si="0"/>
        <v>10</v>
      </c>
      <c r="E17" s="19">
        <f t="shared" si="6"/>
        <v>8.5</v>
      </c>
      <c r="F17" s="19">
        <f t="shared" si="1"/>
        <v>26.180000000000003</v>
      </c>
      <c r="G17" s="21">
        <f t="shared" si="4"/>
        <v>5.6666666666666671E-2</v>
      </c>
      <c r="H17" s="22">
        <f t="shared" si="8"/>
        <v>1.4835333333333336</v>
      </c>
      <c r="I17" s="22">
        <f t="shared" si="7"/>
        <v>12.042800000000002</v>
      </c>
      <c r="J17" s="22">
        <f t="shared" si="2"/>
        <v>29.088888888888889</v>
      </c>
      <c r="K17" s="23">
        <f t="shared" si="5"/>
        <v>30.848766666666666</v>
      </c>
    </row>
    <row r="18" spans="1:11">
      <c r="A18" s="19">
        <v>5</v>
      </c>
      <c r="B18" s="19">
        <f t="shared" si="3"/>
        <v>50</v>
      </c>
      <c r="C18" s="20">
        <v>10</v>
      </c>
      <c r="D18" s="19">
        <f t="shared" si="0"/>
        <v>10</v>
      </c>
      <c r="E18" s="19">
        <f t="shared" si="6"/>
        <v>10</v>
      </c>
      <c r="F18" s="19">
        <f t="shared" si="1"/>
        <v>26.180000000000003</v>
      </c>
      <c r="G18" s="21">
        <f t="shared" si="4"/>
        <v>6.6666666666666666E-2</v>
      </c>
      <c r="H18" s="22">
        <f t="shared" si="8"/>
        <v>1.7453333333333336</v>
      </c>
      <c r="I18" s="22">
        <f t="shared" si="7"/>
        <v>13.788133333333334</v>
      </c>
      <c r="J18" s="22">
        <f t="shared" si="2"/>
        <v>29.088888888888889</v>
      </c>
      <c r="K18" s="23">
        <f t="shared" si="5"/>
        <v>32.157766666666667</v>
      </c>
    </row>
    <row r="19" spans="1:11" s="29" customFormat="1">
      <c r="A19" s="24">
        <v>5</v>
      </c>
      <c r="B19" s="24">
        <f t="shared" si="3"/>
        <v>55</v>
      </c>
      <c r="C19" s="25">
        <v>26</v>
      </c>
      <c r="D19" s="24">
        <f t="shared" si="0"/>
        <v>20.5</v>
      </c>
      <c r="E19" s="24">
        <f t="shared" si="6"/>
        <v>15.25</v>
      </c>
      <c r="F19" s="24">
        <f t="shared" si="1"/>
        <v>26.180000000000003</v>
      </c>
      <c r="G19" s="26">
        <f t="shared" si="4"/>
        <v>0.10166666666666667</v>
      </c>
      <c r="H19" s="27">
        <f t="shared" si="8"/>
        <v>2.6616333333333335</v>
      </c>
      <c r="I19" s="27">
        <f t="shared" si="7"/>
        <v>16.449766666666669</v>
      </c>
      <c r="J19" s="27">
        <f t="shared" si="2"/>
        <v>59.632222222222218</v>
      </c>
      <c r="K19" s="28">
        <f t="shared" si="5"/>
        <v>57.061491666666669</v>
      </c>
    </row>
    <row r="20" spans="1:11" s="34" customFormat="1">
      <c r="A20" s="30">
        <v>5</v>
      </c>
      <c r="B20" s="30">
        <f t="shared" si="3"/>
        <v>60</v>
      </c>
      <c r="C20" s="20">
        <v>30</v>
      </c>
      <c r="D20" s="30">
        <f t="shared" si="0"/>
        <v>22.5</v>
      </c>
      <c r="E20" s="30">
        <f t="shared" si="6"/>
        <v>21.5</v>
      </c>
      <c r="F20" s="30">
        <f t="shared" si="1"/>
        <v>26.180000000000003</v>
      </c>
      <c r="G20" s="31">
        <f t="shared" si="4"/>
        <v>0.14333333333333334</v>
      </c>
      <c r="H20" s="32">
        <f t="shared" si="8"/>
        <v>3.7524666666666673</v>
      </c>
      <c r="I20" s="32">
        <f t="shared" si="7"/>
        <v>20.202233333333336</v>
      </c>
      <c r="J20" s="32">
        <f t="shared" si="2"/>
        <v>65.449999999999989</v>
      </c>
      <c r="K20" s="33">
        <f t="shared" si="5"/>
        <v>64.239174999999989</v>
      </c>
    </row>
    <row r="21" spans="1:11">
      <c r="A21" s="19">
        <v>5</v>
      </c>
      <c r="B21" s="19">
        <f t="shared" si="3"/>
        <v>65</v>
      </c>
      <c r="C21" s="20">
        <v>28</v>
      </c>
      <c r="D21" s="19">
        <f t="shared" si="0"/>
        <v>21.5</v>
      </c>
      <c r="E21" s="19">
        <f t="shared" si="6"/>
        <v>22</v>
      </c>
      <c r="F21" s="19">
        <f t="shared" si="1"/>
        <v>26.180000000000003</v>
      </c>
      <c r="G21" s="21">
        <f t="shared" si="4"/>
        <v>0.14666666666666667</v>
      </c>
      <c r="H21" s="22">
        <f t="shared" si="8"/>
        <v>3.8397333333333337</v>
      </c>
      <c r="I21" s="22">
        <f t="shared" si="7"/>
        <v>24.041966666666671</v>
      </c>
      <c r="J21" s="22">
        <f t="shared" si="2"/>
        <v>62.541111111111121</v>
      </c>
      <c r="K21" s="23">
        <f t="shared" si="5"/>
        <v>64.937308333333334</v>
      </c>
    </row>
    <row r="22" spans="1:11" s="35" customFormat="1">
      <c r="A22" s="30">
        <v>5</v>
      </c>
      <c r="B22" s="30">
        <f t="shared" si="3"/>
        <v>70</v>
      </c>
      <c r="C22" s="20">
        <v>16</v>
      </c>
      <c r="D22" s="30">
        <f t="shared" si="0"/>
        <v>15.5</v>
      </c>
      <c r="E22" s="30">
        <f t="shared" si="6"/>
        <v>18.5</v>
      </c>
      <c r="F22" s="30">
        <f t="shared" si="1"/>
        <v>26.180000000000003</v>
      </c>
      <c r="G22" s="31">
        <f t="shared" si="4"/>
        <v>0.12333333333333334</v>
      </c>
      <c r="H22" s="32">
        <f t="shared" si="8"/>
        <v>3.2288666666666672</v>
      </c>
      <c r="I22" s="32">
        <f t="shared" si="7"/>
        <v>27.270833333333339</v>
      </c>
      <c r="J22" s="32">
        <f t="shared" si="2"/>
        <v>45.087777777777781</v>
      </c>
      <c r="K22" s="33">
        <f t="shared" si="5"/>
        <v>54.268958333333337</v>
      </c>
    </row>
    <row r="23" spans="1:11">
      <c r="A23" s="19">
        <v>5</v>
      </c>
      <c r="B23" s="19">
        <f t="shared" si="3"/>
        <v>75</v>
      </c>
      <c r="C23" s="20">
        <v>18</v>
      </c>
      <c r="D23" s="19">
        <f t="shared" si="0"/>
        <v>16.5</v>
      </c>
      <c r="E23" s="19">
        <f t="shared" si="6"/>
        <v>16</v>
      </c>
      <c r="F23" s="19">
        <f t="shared" si="1"/>
        <v>26.180000000000003</v>
      </c>
      <c r="G23" s="21">
        <f t="shared" si="4"/>
        <v>0.10666666666666667</v>
      </c>
      <c r="H23" s="22">
        <f t="shared" si="8"/>
        <v>2.792533333333334</v>
      </c>
      <c r="I23" s="22">
        <f t="shared" si="7"/>
        <v>30.063366666666674</v>
      </c>
      <c r="J23" s="22">
        <f t="shared" si="2"/>
        <v>47.99666666666667</v>
      </c>
      <c r="K23" s="23">
        <f t="shared" si="5"/>
        <v>58.545025000000003</v>
      </c>
    </row>
    <row r="24" spans="1:11">
      <c r="A24" s="19">
        <v>5</v>
      </c>
      <c r="B24" s="19">
        <f t="shared" si="3"/>
        <v>80</v>
      </c>
      <c r="C24" s="20">
        <v>22</v>
      </c>
      <c r="D24" s="19">
        <f t="shared" si="0"/>
        <v>18.5</v>
      </c>
      <c r="E24" s="19">
        <f t="shared" si="6"/>
        <v>17.5</v>
      </c>
      <c r="F24" s="19">
        <f t="shared" si="1"/>
        <v>26.180000000000003</v>
      </c>
      <c r="G24" s="21">
        <f t="shared" si="4"/>
        <v>0.11666666666666668</v>
      </c>
      <c r="H24" s="22">
        <f t="shared" si="8"/>
        <v>3.054333333333334</v>
      </c>
      <c r="I24" s="22">
        <f t="shared" si="7"/>
        <v>33.117700000000006</v>
      </c>
      <c r="J24" s="22">
        <f t="shared" si="2"/>
        <v>53.81444444444444</v>
      </c>
      <c r="K24" s="23">
        <f t="shared" si="5"/>
        <v>65.199108333333328</v>
      </c>
    </row>
    <row r="25" spans="1:11">
      <c r="A25" s="19">
        <v>5</v>
      </c>
      <c r="B25" s="19">
        <f t="shared" si="3"/>
        <v>85</v>
      </c>
      <c r="C25" s="20">
        <v>26</v>
      </c>
      <c r="D25" s="19">
        <f t="shared" si="0"/>
        <v>20.5</v>
      </c>
      <c r="E25" s="19">
        <f t="shared" si="6"/>
        <v>19.5</v>
      </c>
      <c r="F25" s="19">
        <f t="shared" si="1"/>
        <v>26.180000000000003</v>
      </c>
      <c r="G25" s="21">
        <f t="shared" si="4"/>
        <v>0.13</v>
      </c>
      <c r="H25" s="22">
        <f t="shared" si="8"/>
        <v>3.4034000000000004</v>
      </c>
      <c r="I25" s="22">
        <f t="shared" si="7"/>
        <v>36.521100000000004</v>
      </c>
      <c r="J25" s="22">
        <f t="shared" si="2"/>
        <v>59.632222222222218</v>
      </c>
      <c r="K25" s="23">
        <f t="shared" si="5"/>
        <v>72.114991666666668</v>
      </c>
    </row>
    <row r="26" spans="1:11">
      <c r="A26" s="19">
        <v>5</v>
      </c>
      <c r="B26" s="19">
        <f t="shared" si="3"/>
        <v>90</v>
      </c>
      <c r="C26" s="20">
        <v>20</v>
      </c>
      <c r="D26" s="19">
        <f t="shared" si="0"/>
        <v>17.5</v>
      </c>
      <c r="E26" s="19">
        <f t="shared" si="6"/>
        <v>19</v>
      </c>
      <c r="F26" s="19">
        <f t="shared" si="1"/>
        <v>26.180000000000003</v>
      </c>
      <c r="G26" s="21">
        <f t="shared" si="4"/>
        <v>0.12666666666666668</v>
      </c>
      <c r="H26" s="22">
        <f t="shared" si="8"/>
        <v>3.316133333333334</v>
      </c>
      <c r="I26" s="22">
        <f t="shared" si="7"/>
        <v>39.837233333333337</v>
      </c>
      <c r="J26" s="22">
        <f t="shared" si="2"/>
        <v>50.905555555555551</v>
      </c>
      <c r="K26" s="23">
        <f t="shared" si="5"/>
        <v>68.057091666666679</v>
      </c>
    </row>
    <row r="27" spans="1:11">
      <c r="A27" s="19">
        <v>5</v>
      </c>
      <c r="B27" s="19">
        <f t="shared" si="3"/>
        <v>95</v>
      </c>
      <c r="C27" s="20">
        <v>20</v>
      </c>
      <c r="D27" s="19">
        <f t="shared" si="0"/>
        <v>17.5</v>
      </c>
      <c r="E27" s="19">
        <f t="shared" si="6"/>
        <v>17.5</v>
      </c>
      <c r="F27" s="19">
        <f t="shared" si="1"/>
        <v>26.180000000000003</v>
      </c>
      <c r="G27" s="21">
        <f t="shared" si="4"/>
        <v>0.11666666666666668</v>
      </c>
      <c r="H27" s="22">
        <f t="shared" si="8"/>
        <v>3.054333333333334</v>
      </c>
      <c r="I27" s="22">
        <f t="shared" si="7"/>
        <v>42.89156666666667</v>
      </c>
      <c r="J27" s="22">
        <f t="shared" si="2"/>
        <v>50.905555555555551</v>
      </c>
      <c r="K27" s="23">
        <f t="shared" si="5"/>
        <v>70.347841666666653</v>
      </c>
    </row>
    <row r="28" spans="1:11">
      <c r="A28" s="19">
        <v>5</v>
      </c>
      <c r="B28" s="19">
        <f t="shared" si="3"/>
        <v>100</v>
      </c>
      <c r="C28" s="20">
        <v>24</v>
      </c>
      <c r="D28" s="19">
        <f t="shared" si="0"/>
        <v>19.5</v>
      </c>
      <c r="E28" s="19">
        <f t="shared" si="6"/>
        <v>18.5</v>
      </c>
      <c r="F28" s="19">
        <f t="shared" si="1"/>
        <v>26.180000000000003</v>
      </c>
      <c r="G28" s="21">
        <f t="shared" si="4"/>
        <v>0.12333333333333334</v>
      </c>
      <c r="H28" s="22">
        <f t="shared" si="8"/>
        <v>3.2288666666666672</v>
      </c>
      <c r="I28" s="22">
        <f t="shared" si="7"/>
        <v>46.120433333333338</v>
      </c>
      <c r="J28" s="22">
        <f t="shared" si="2"/>
        <v>56.723333333333329</v>
      </c>
      <c r="K28" s="23">
        <f t="shared" si="5"/>
        <v>77.132824999999997</v>
      </c>
    </row>
    <row r="30" spans="1:11" ht="41.25" customHeight="1">
      <c r="A30" s="162" t="s">
        <v>26</v>
      </c>
      <c r="B30" s="162"/>
      <c r="C30" s="12">
        <v>20</v>
      </c>
      <c r="D30" s="13" t="s">
        <v>27</v>
      </c>
      <c r="E30" s="13"/>
      <c r="F30" s="13"/>
      <c r="G30" s="13" t="s">
        <v>28</v>
      </c>
      <c r="H30" s="12">
        <v>2</v>
      </c>
      <c r="I30" s="13"/>
      <c r="J30" s="13"/>
      <c r="K30" s="13"/>
    </row>
    <row r="31" spans="1:11" ht="24.75" customHeight="1">
      <c r="A31" s="163" t="s">
        <v>29</v>
      </c>
      <c r="B31" s="163"/>
      <c r="C31" s="12">
        <v>3</v>
      </c>
    </row>
    <row r="33" spans="1:11" ht="130.5" customHeight="1">
      <c r="A33" s="17" t="s">
        <v>30</v>
      </c>
      <c r="B33" s="17" t="s">
        <v>31</v>
      </c>
      <c r="C33" s="17" t="s">
        <v>32</v>
      </c>
      <c r="D33" s="17" t="s">
        <v>33</v>
      </c>
      <c r="E33" s="17" t="s">
        <v>34</v>
      </c>
      <c r="F33" s="17" t="s">
        <v>35</v>
      </c>
      <c r="G33" s="17" t="s">
        <v>36</v>
      </c>
      <c r="H33" s="17" t="s">
        <v>37</v>
      </c>
      <c r="I33" s="17" t="s">
        <v>38</v>
      </c>
      <c r="J33" s="17" t="s">
        <v>39</v>
      </c>
      <c r="K33" s="17" t="s">
        <v>40</v>
      </c>
    </row>
    <row r="34" spans="1:11">
      <c r="A34" s="19">
        <v>0</v>
      </c>
      <c r="B34" s="19">
        <f>A34</f>
        <v>0</v>
      </c>
      <c r="C34" s="36">
        <v>0</v>
      </c>
      <c r="D34" s="19">
        <f t="shared" ref="D34:D54" si="9">IF(C34&gt;15,C34-(C34-15)/2,C34)</f>
        <v>0</v>
      </c>
      <c r="E34" s="19">
        <v>0</v>
      </c>
      <c r="F34" s="19">
        <f>PI()*C$30*A34/12</f>
        <v>0</v>
      </c>
      <c r="G34" s="21">
        <f>0.02*D34/C$31</f>
        <v>0</v>
      </c>
      <c r="H34" s="22">
        <f t="shared" ref="H34:H54" si="10">G34*F34</f>
        <v>0</v>
      </c>
      <c r="I34" s="22">
        <f>H34*F34</f>
        <v>0</v>
      </c>
      <c r="J34" s="22">
        <f t="shared" ref="J34:J54" si="11">4*D34/C$31*3.1416*C$30*C$30/4/144</f>
        <v>0</v>
      </c>
      <c r="K34" s="23">
        <f>0.75*(I34+J34)</f>
        <v>0</v>
      </c>
    </row>
    <row r="35" spans="1:11">
      <c r="A35" s="19">
        <v>5</v>
      </c>
      <c r="B35" s="19">
        <f t="shared" ref="B35:B54" si="12">B34+A35</f>
        <v>5</v>
      </c>
      <c r="C35" s="36">
        <v>2</v>
      </c>
      <c r="D35" s="19">
        <f t="shared" si="9"/>
        <v>2</v>
      </c>
      <c r="E35" s="19">
        <f t="shared" ref="E35:E54" si="13">(D34+D35)/2</f>
        <v>1</v>
      </c>
      <c r="F35" s="19">
        <f t="shared" ref="F35:F54" si="14">3.1416*C$30*A35/12</f>
        <v>26.180000000000003</v>
      </c>
      <c r="G35" s="21">
        <f t="shared" ref="G35:G54" si="15">0.02*E35/C$31</f>
        <v>6.6666666666666671E-3</v>
      </c>
      <c r="H35" s="22">
        <f t="shared" si="10"/>
        <v>0.17453333333333337</v>
      </c>
      <c r="I35" s="22">
        <f t="shared" ref="I35:I54" si="16">I34+H35</f>
        <v>0.17453333333333337</v>
      </c>
      <c r="J35" s="22">
        <f t="shared" si="11"/>
        <v>5.8177777777777777</v>
      </c>
      <c r="K35" s="23">
        <f t="shared" ref="K35:K54" si="17">0.75*(I35+J35)</f>
        <v>4.4942333333333337</v>
      </c>
    </row>
    <row r="36" spans="1:11">
      <c r="A36" s="19">
        <v>5</v>
      </c>
      <c r="B36" s="19">
        <f t="shared" si="12"/>
        <v>10</v>
      </c>
      <c r="C36" s="36">
        <v>3</v>
      </c>
      <c r="D36" s="19">
        <f t="shared" si="9"/>
        <v>3</v>
      </c>
      <c r="E36" s="19">
        <f t="shared" si="13"/>
        <v>2.5</v>
      </c>
      <c r="F36" s="19">
        <f t="shared" si="14"/>
        <v>26.180000000000003</v>
      </c>
      <c r="G36" s="21">
        <f t="shared" si="15"/>
        <v>1.6666666666666666E-2</v>
      </c>
      <c r="H36" s="22">
        <f t="shared" si="10"/>
        <v>0.43633333333333341</v>
      </c>
      <c r="I36" s="22">
        <f t="shared" si="16"/>
        <v>0.61086666666666678</v>
      </c>
      <c r="J36" s="22">
        <f t="shared" si="11"/>
        <v>8.7266666666666666</v>
      </c>
      <c r="K36" s="23">
        <f t="shared" si="17"/>
        <v>7.0031499999999998</v>
      </c>
    </row>
    <row r="37" spans="1:11">
      <c r="A37" s="19">
        <v>5</v>
      </c>
      <c r="B37" s="19">
        <f t="shared" si="12"/>
        <v>15</v>
      </c>
      <c r="C37" s="36">
        <v>8</v>
      </c>
      <c r="D37" s="19">
        <f t="shared" si="9"/>
        <v>8</v>
      </c>
      <c r="E37" s="19">
        <f t="shared" si="13"/>
        <v>5.5</v>
      </c>
      <c r="F37" s="19">
        <f t="shared" si="14"/>
        <v>26.180000000000003</v>
      </c>
      <c r="G37" s="21">
        <f t="shared" si="15"/>
        <v>3.6666666666666667E-2</v>
      </c>
      <c r="H37" s="22">
        <f t="shared" si="10"/>
        <v>0.95993333333333342</v>
      </c>
      <c r="I37" s="22">
        <f t="shared" si="16"/>
        <v>1.5708000000000002</v>
      </c>
      <c r="J37" s="22">
        <f t="shared" si="11"/>
        <v>23.271111111111111</v>
      </c>
      <c r="K37" s="23">
        <f t="shared" si="17"/>
        <v>18.631433333333334</v>
      </c>
    </row>
    <row r="38" spans="1:11">
      <c r="A38" s="19">
        <v>5</v>
      </c>
      <c r="B38" s="19">
        <f t="shared" si="12"/>
        <v>20</v>
      </c>
      <c r="C38" s="36">
        <v>13</v>
      </c>
      <c r="D38" s="19">
        <f t="shared" si="9"/>
        <v>13</v>
      </c>
      <c r="E38" s="19">
        <f t="shared" si="13"/>
        <v>10.5</v>
      </c>
      <c r="F38" s="19">
        <f t="shared" si="14"/>
        <v>26.180000000000003</v>
      </c>
      <c r="G38" s="21">
        <f t="shared" si="15"/>
        <v>6.9999999999999993E-2</v>
      </c>
      <c r="H38" s="22">
        <f t="shared" si="10"/>
        <v>1.8326</v>
      </c>
      <c r="I38" s="22">
        <f t="shared" si="16"/>
        <v>3.4034000000000004</v>
      </c>
      <c r="J38" s="22">
        <f t="shared" si="11"/>
        <v>37.815555555555548</v>
      </c>
      <c r="K38" s="23">
        <f t="shared" si="17"/>
        <v>30.914216666666661</v>
      </c>
    </row>
    <row r="39" spans="1:11">
      <c r="A39" s="19">
        <v>5</v>
      </c>
      <c r="B39" s="19">
        <f t="shared" si="12"/>
        <v>25</v>
      </c>
      <c r="C39" s="36">
        <v>14</v>
      </c>
      <c r="D39" s="19">
        <f t="shared" si="9"/>
        <v>14</v>
      </c>
      <c r="E39" s="19">
        <f t="shared" si="13"/>
        <v>13.5</v>
      </c>
      <c r="F39" s="19">
        <f t="shared" si="14"/>
        <v>26.180000000000003</v>
      </c>
      <c r="G39" s="21">
        <f t="shared" si="15"/>
        <v>9.0000000000000011E-2</v>
      </c>
      <c r="H39" s="22">
        <f t="shared" si="10"/>
        <v>2.3562000000000007</v>
      </c>
      <c r="I39" s="22">
        <f t="shared" si="16"/>
        <v>5.7596000000000007</v>
      </c>
      <c r="J39" s="22">
        <f t="shared" si="11"/>
        <v>40.724444444444444</v>
      </c>
      <c r="K39" s="23">
        <f t="shared" si="17"/>
        <v>34.863033333333334</v>
      </c>
    </row>
    <row r="40" spans="1:11">
      <c r="A40" s="19">
        <v>5</v>
      </c>
      <c r="B40" s="19">
        <f t="shared" si="12"/>
        <v>30</v>
      </c>
      <c r="C40" s="36">
        <v>17</v>
      </c>
      <c r="D40" s="19">
        <f t="shared" si="9"/>
        <v>16</v>
      </c>
      <c r="E40" s="19">
        <f t="shared" si="13"/>
        <v>15</v>
      </c>
      <c r="F40" s="19">
        <f t="shared" si="14"/>
        <v>26.180000000000003</v>
      </c>
      <c r="G40" s="21">
        <f t="shared" si="15"/>
        <v>9.9999999999999992E-2</v>
      </c>
      <c r="H40" s="22">
        <f t="shared" si="10"/>
        <v>2.6180000000000003</v>
      </c>
      <c r="I40" s="22">
        <f t="shared" si="16"/>
        <v>8.377600000000001</v>
      </c>
      <c r="J40" s="22">
        <f t="shared" si="11"/>
        <v>46.542222222222222</v>
      </c>
      <c r="K40" s="23">
        <f t="shared" si="17"/>
        <v>41.189866666666667</v>
      </c>
    </row>
    <row r="41" spans="1:11">
      <c r="A41" s="19">
        <v>5</v>
      </c>
      <c r="B41" s="19">
        <f t="shared" si="12"/>
        <v>35</v>
      </c>
      <c r="C41" s="36">
        <v>7</v>
      </c>
      <c r="D41" s="19">
        <f t="shared" si="9"/>
        <v>7</v>
      </c>
      <c r="E41" s="19">
        <f t="shared" si="13"/>
        <v>11.5</v>
      </c>
      <c r="F41" s="19">
        <f t="shared" si="14"/>
        <v>26.180000000000003</v>
      </c>
      <c r="G41" s="21">
        <f t="shared" si="15"/>
        <v>7.6666666666666675E-2</v>
      </c>
      <c r="H41" s="22">
        <f t="shared" si="10"/>
        <v>2.0071333333333339</v>
      </c>
      <c r="I41" s="22">
        <f t="shared" si="16"/>
        <v>10.384733333333335</v>
      </c>
      <c r="J41" s="22">
        <f t="shared" si="11"/>
        <v>20.362222222222222</v>
      </c>
      <c r="K41" s="23">
        <f t="shared" si="17"/>
        <v>23.060216666666669</v>
      </c>
    </row>
    <row r="42" spans="1:11">
      <c r="A42" s="19">
        <v>5</v>
      </c>
      <c r="B42" s="19">
        <f t="shared" si="12"/>
        <v>40</v>
      </c>
      <c r="C42" s="36">
        <v>9</v>
      </c>
      <c r="D42" s="19">
        <f t="shared" si="9"/>
        <v>9</v>
      </c>
      <c r="E42" s="19">
        <f t="shared" si="13"/>
        <v>8</v>
      </c>
      <c r="F42" s="19">
        <f t="shared" si="14"/>
        <v>26.180000000000003</v>
      </c>
      <c r="G42" s="21">
        <f t="shared" si="15"/>
        <v>5.3333333333333337E-2</v>
      </c>
      <c r="H42" s="22">
        <f t="shared" si="10"/>
        <v>1.396266666666667</v>
      </c>
      <c r="I42" s="22">
        <f t="shared" si="16"/>
        <v>11.781000000000002</v>
      </c>
      <c r="J42" s="22">
        <f t="shared" si="11"/>
        <v>26.179999999999996</v>
      </c>
      <c r="K42" s="23">
        <f t="shared" si="17"/>
        <v>28.470749999999999</v>
      </c>
    </row>
    <row r="43" spans="1:11">
      <c r="A43" s="19">
        <v>5</v>
      </c>
      <c r="B43" s="19">
        <f t="shared" si="12"/>
        <v>45</v>
      </c>
      <c r="C43" s="36">
        <v>8</v>
      </c>
      <c r="D43" s="19">
        <f t="shared" si="9"/>
        <v>8</v>
      </c>
      <c r="E43" s="19">
        <f t="shared" si="13"/>
        <v>8.5</v>
      </c>
      <c r="F43" s="19">
        <f t="shared" si="14"/>
        <v>26.180000000000003</v>
      </c>
      <c r="G43" s="21">
        <f t="shared" si="15"/>
        <v>5.6666666666666671E-2</v>
      </c>
      <c r="H43" s="22">
        <f t="shared" si="10"/>
        <v>1.4835333333333336</v>
      </c>
      <c r="I43" s="22">
        <f t="shared" si="16"/>
        <v>13.264533333333336</v>
      </c>
      <c r="J43" s="22">
        <f t="shared" si="11"/>
        <v>23.271111111111111</v>
      </c>
      <c r="K43" s="23">
        <f t="shared" si="17"/>
        <v>27.401733333333333</v>
      </c>
    </row>
    <row r="44" spans="1:11">
      <c r="A44" s="19">
        <v>5</v>
      </c>
      <c r="B44" s="19">
        <f t="shared" si="12"/>
        <v>50</v>
      </c>
      <c r="C44" s="36">
        <v>30</v>
      </c>
      <c r="D44" s="19">
        <f t="shared" si="9"/>
        <v>22.5</v>
      </c>
      <c r="E44" s="19">
        <f t="shared" si="13"/>
        <v>15.25</v>
      </c>
      <c r="F44" s="19">
        <f t="shared" si="14"/>
        <v>26.180000000000003</v>
      </c>
      <c r="G44" s="21">
        <f t="shared" si="15"/>
        <v>0.10166666666666667</v>
      </c>
      <c r="H44" s="22">
        <f t="shared" si="10"/>
        <v>2.6616333333333335</v>
      </c>
      <c r="I44" s="22">
        <f t="shared" si="16"/>
        <v>15.926166666666671</v>
      </c>
      <c r="J44" s="22">
        <f t="shared" si="11"/>
        <v>65.449999999999989</v>
      </c>
      <c r="K44" s="23">
        <f t="shared" si="17"/>
        <v>61.032124999999994</v>
      </c>
    </row>
    <row r="45" spans="1:11" s="29" customFormat="1">
      <c r="A45" s="24">
        <v>5</v>
      </c>
      <c r="B45" s="24">
        <f t="shared" si="12"/>
        <v>55</v>
      </c>
      <c r="C45" s="37">
        <v>32</v>
      </c>
      <c r="D45" s="24">
        <f t="shared" si="9"/>
        <v>23.5</v>
      </c>
      <c r="E45" s="24">
        <f t="shared" si="13"/>
        <v>23</v>
      </c>
      <c r="F45" s="24">
        <f t="shared" si="14"/>
        <v>26.180000000000003</v>
      </c>
      <c r="G45" s="26">
        <f t="shared" si="15"/>
        <v>0.15333333333333335</v>
      </c>
      <c r="H45" s="27">
        <f t="shared" si="10"/>
        <v>4.0142666666666678</v>
      </c>
      <c r="I45" s="27">
        <f t="shared" si="16"/>
        <v>19.940433333333338</v>
      </c>
      <c r="J45" s="27">
        <f t="shared" si="11"/>
        <v>68.358888888888885</v>
      </c>
      <c r="K45" s="28">
        <f t="shared" si="17"/>
        <v>66.224491666666665</v>
      </c>
    </row>
    <row r="46" spans="1:11" s="34" customFormat="1">
      <c r="A46" s="30">
        <v>5</v>
      </c>
      <c r="B46" s="30">
        <f t="shared" si="12"/>
        <v>60</v>
      </c>
      <c r="C46" s="36">
        <v>35</v>
      </c>
      <c r="D46" s="30">
        <f t="shared" si="9"/>
        <v>25</v>
      </c>
      <c r="E46" s="30">
        <f t="shared" si="13"/>
        <v>24.25</v>
      </c>
      <c r="F46" s="30">
        <f t="shared" si="14"/>
        <v>26.180000000000003</v>
      </c>
      <c r="G46" s="31">
        <f t="shared" si="15"/>
        <v>0.16166666666666665</v>
      </c>
      <c r="H46" s="32">
        <f t="shared" si="10"/>
        <v>4.2324333333333337</v>
      </c>
      <c r="I46" s="32">
        <f t="shared" si="16"/>
        <v>24.172866666666671</v>
      </c>
      <c r="J46" s="32">
        <f t="shared" si="11"/>
        <v>72.722222222222229</v>
      </c>
      <c r="K46" s="33">
        <f t="shared" si="17"/>
        <v>72.671316666666669</v>
      </c>
    </row>
    <row r="47" spans="1:11">
      <c r="A47" s="19">
        <v>5</v>
      </c>
      <c r="B47" s="19">
        <f t="shared" si="12"/>
        <v>65</v>
      </c>
      <c r="C47" s="36">
        <v>11</v>
      </c>
      <c r="D47" s="19">
        <f t="shared" si="9"/>
        <v>11</v>
      </c>
      <c r="E47" s="19">
        <f t="shared" si="13"/>
        <v>18</v>
      </c>
      <c r="F47" s="19">
        <f t="shared" si="14"/>
        <v>26.180000000000003</v>
      </c>
      <c r="G47" s="21">
        <f t="shared" si="15"/>
        <v>0.12</v>
      </c>
      <c r="H47" s="22">
        <f t="shared" si="10"/>
        <v>3.1416000000000004</v>
      </c>
      <c r="I47" s="22">
        <f t="shared" si="16"/>
        <v>27.314466666666672</v>
      </c>
      <c r="J47" s="22">
        <f t="shared" si="11"/>
        <v>31.997777777777774</v>
      </c>
      <c r="K47" s="23">
        <f t="shared" si="17"/>
        <v>44.484183333333334</v>
      </c>
    </row>
    <row r="48" spans="1:11" s="35" customFormat="1">
      <c r="A48" s="30">
        <v>5</v>
      </c>
      <c r="B48" s="30">
        <f t="shared" si="12"/>
        <v>70</v>
      </c>
      <c r="C48" s="36">
        <v>18</v>
      </c>
      <c r="D48" s="30">
        <f t="shared" si="9"/>
        <v>16.5</v>
      </c>
      <c r="E48" s="30">
        <f t="shared" si="13"/>
        <v>13.75</v>
      </c>
      <c r="F48" s="30">
        <f t="shared" si="14"/>
        <v>26.180000000000003</v>
      </c>
      <c r="G48" s="31">
        <f t="shared" si="15"/>
        <v>9.1666666666666674E-2</v>
      </c>
      <c r="H48" s="32">
        <f t="shared" si="10"/>
        <v>2.3998333333333339</v>
      </c>
      <c r="I48" s="32">
        <f t="shared" si="16"/>
        <v>29.714300000000005</v>
      </c>
      <c r="J48" s="32">
        <f t="shared" si="11"/>
        <v>47.99666666666667</v>
      </c>
      <c r="K48" s="33">
        <f t="shared" si="17"/>
        <v>58.283225000000009</v>
      </c>
    </row>
    <row r="49" spans="1:11">
      <c r="A49" s="19">
        <v>5</v>
      </c>
      <c r="B49" s="19">
        <f t="shared" si="12"/>
        <v>75</v>
      </c>
      <c r="C49" s="36">
        <v>20</v>
      </c>
      <c r="D49" s="19">
        <f t="shared" si="9"/>
        <v>17.5</v>
      </c>
      <c r="E49" s="19">
        <f t="shared" si="13"/>
        <v>17</v>
      </c>
      <c r="F49" s="19">
        <f t="shared" si="14"/>
        <v>26.180000000000003</v>
      </c>
      <c r="G49" s="21">
        <f t="shared" si="15"/>
        <v>0.11333333333333334</v>
      </c>
      <c r="H49" s="22">
        <f t="shared" si="10"/>
        <v>2.9670666666666672</v>
      </c>
      <c r="I49" s="22">
        <f t="shared" si="16"/>
        <v>32.681366666666669</v>
      </c>
      <c r="J49" s="22">
        <f t="shared" si="11"/>
        <v>50.905555555555551</v>
      </c>
      <c r="K49" s="23">
        <f t="shared" si="17"/>
        <v>62.690191666666671</v>
      </c>
    </row>
    <row r="50" spans="1:11">
      <c r="A50" s="19">
        <v>5</v>
      </c>
      <c r="B50" s="19">
        <f t="shared" si="12"/>
        <v>80</v>
      </c>
      <c r="C50" s="36">
        <v>27</v>
      </c>
      <c r="D50" s="19">
        <f t="shared" si="9"/>
        <v>21</v>
      </c>
      <c r="E50" s="19">
        <f t="shared" si="13"/>
        <v>19.25</v>
      </c>
      <c r="F50" s="19">
        <f t="shared" si="14"/>
        <v>26.180000000000003</v>
      </c>
      <c r="G50" s="21">
        <f t="shared" si="15"/>
        <v>0.12833333333333333</v>
      </c>
      <c r="H50" s="22">
        <f t="shared" si="10"/>
        <v>3.3597666666666668</v>
      </c>
      <c r="I50" s="22">
        <f t="shared" si="16"/>
        <v>36.041133333333335</v>
      </c>
      <c r="J50" s="22">
        <f t="shared" si="11"/>
        <v>61.086666666666666</v>
      </c>
      <c r="K50" s="23">
        <f t="shared" si="17"/>
        <v>72.845850000000013</v>
      </c>
    </row>
    <row r="51" spans="1:11">
      <c r="A51" s="19">
        <v>5</v>
      </c>
      <c r="B51" s="19">
        <f t="shared" si="12"/>
        <v>85</v>
      </c>
      <c r="C51" s="36">
        <v>25</v>
      </c>
      <c r="D51" s="19">
        <f t="shared" si="9"/>
        <v>20</v>
      </c>
      <c r="E51" s="19">
        <f t="shared" si="13"/>
        <v>20.5</v>
      </c>
      <c r="F51" s="19">
        <f t="shared" si="14"/>
        <v>26.180000000000003</v>
      </c>
      <c r="G51" s="21">
        <f t="shared" si="15"/>
        <v>0.13666666666666669</v>
      </c>
      <c r="H51" s="22">
        <f t="shared" si="10"/>
        <v>3.5779333333333341</v>
      </c>
      <c r="I51" s="22">
        <f t="shared" si="16"/>
        <v>39.619066666666669</v>
      </c>
      <c r="J51" s="22">
        <f t="shared" si="11"/>
        <v>58.177777777777777</v>
      </c>
      <c r="K51" s="23">
        <f t="shared" si="17"/>
        <v>73.347633333333334</v>
      </c>
    </row>
    <row r="52" spans="1:11">
      <c r="A52" s="19">
        <v>5</v>
      </c>
      <c r="B52" s="19">
        <f t="shared" si="12"/>
        <v>90</v>
      </c>
      <c r="C52" s="36">
        <v>15</v>
      </c>
      <c r="D52" s="19">
        <f t="shared" si="9"/>
        <v>15</v>
      </c>
      <c r="E52" s="19">
        <f t="shared" si="13"/>
        <v>17.5</v>
      </c>
      <c r="F52" s="19">
        <f t="shared" si="14"/>
        <v>26.180000000000003</v>
      </c>
      <c r="G52" s="21">
        <f t="shared" si="15"/>
        <v>0.11666666666666668</v>
      </c>
      <c r="H52" s="22">
        <f t="shared" si="10"/>
        <v>3.054333333333334</v>
      </c>
      <c r="I52" s="22">
        <f t="shared" si="16"/>
        <v>42.673400000000001</v>
      </c>
      <c r="J52" s="22">
        <f t="shared" si="11"/>
        <v>43.63333333333334</v>
      </c>
      <c r="K52" s="23">
        <f t="shared" si="17"/>
        <v>64.730050000000006</v>
      </c>
    </row>
    <row r="53" spans="1:11">
      <c r="A53" s="19">
        <v>5</v>
      </c>
      <c r="B53" s="19">
        <f t="shared" si="12"/>
        <v>95</v>
      </c>
      <c r="C53" s="36">
        <v>18</v>
      </c>
      <c r="D53" s="19">
        <f t="shared" si="9"/>
        <v>16.5</v>
      </c>
      <c r="E53" s="19">
        <f t="shared" si="13"/>
        <v>15.75</v>
      </c>
      <c r="F53" s="19">
        <f t="shared" si="14"/>
        <v>26.180000000000003</v>
      </c>
      <c r="G53" s="21">
        <f t="shared" si="15"/>
        <v>0.105</v>
      </c>
      <c r="H53" s="22">
        <f t="shared" si="10"/>
        <v>2.7489000000000003</v>
      </c>
      <c r="I53" s="22">
        <f t="shared" si="16"/>
        <v>45.4223</v>
      </c>
      <c r="J53" s="22">
        <f t="shared" si="11"/>
        <v>47.99666666666667</v>
      </c>
      <c r="K53" s="23">
        <f t="shared" si="17"/>
        <v>70.064225000000008</v>
      </c>
    </row>
    <row r="54" spans="1:11">
      <c r="A54" s="19">
        <v>5</v>
      </c>
      <c r="B54" s="19">
        <f t="shared" si="12"/>
        <v>100</v>
      </c>
      <c r="C54" s="36">
        <v>25</v>
      </c>
      <c r="D54" s="19">
        <f t="shared" si="9"/>
        <v>20</v>
      </c>
      <c r="E54" s="19">
        <f t="shared" si="13"/>
        <v>18.25</v>
      </c>
      <c r="F54" s="19">
        <f t="shared" si="14"/>
        <v>26.180000000000003</v>
      </c>
      <c r="G54" s="21">
        <f t="shared" si="15"/>
        <v>0.12166666666666666</v>
      </c>
      <c r="H54" s="22">
        <f t="shared" si="10"/>
        <v>3.1852333333333336</v>
      </c>
      <c r="I54" s="22">
        <f t="shared" si="16"/>
        <v>48.607533333333336</v>
      </c>
      <c r="J54" s="22">
        <f t="shared" si="11"/>
        <v>58.177777777777777</v>
      </c>
      <c r="K54" s="23">
        <f t="shared" si="17"/>
        <v>80.088983333333331</v>
      </c>
    </row>
    <row r="56" spans="1:11" ht="42.75" customHeight="1">
      <c r="A56" s="162" t="s">
        <v>26</v>
      </c>
      <c r="B56" s="162"/>
      <c r="C56" s="12">
        <v>20</v>
      </c>
      <c r="D56" s="13" t="s">
        <v>27</v>
      </c>
      <c r="E56" s="13"/>
      <c r="F56" s="13"/>
      <c r="G56" s="13" t="s">
        <v>28</v>
      </c>
      <c r="H56" s="38">
        <v>3</v>
      </c>
      <c r="I56" s="13"/>
      <c r="J56" s="13"/>
      <c r="K56" s="13"/>
    </row>
    <row r="57" spans="1:11">
      <c r="A57" s="163" t="s">
        <v>29</v>
      </c>
      <c r="B57" s="163"/>
      <c r="C57" s="15">
        <v>3</v>
      </c>
    </row>
    <row r="59" spans="1:11" ht="121.5" customHeight="1">
      <c r="A59" s="17" t="s">
        <v>30</v>
      </c>
      <c r="B59" s="17" t="s">
        <v>31</v>
      </c>
      <c r="C59" s="17" t="s">
        <v>32</v>
      </c>
      <c r="D59" s="17" t="s">
        <v>33</v>
      </c>
      <c r="E59" s="17" t="s">
        <v>34</v>
      </c>
      <c r="F59" s="17" t="s">
        <v>35</v>
      </c>
      <c r="G59" s="17" t="s">
        <v>36</v>
      </c>
      <c r="H59" s="17" t="s">
        <v>37</v>
      </c>
      <c r="I59" s="17" t="s">
        <v>38</v>
      </c>
      <c r="J59" s="17" t="s">
        <v>39</v>
      </c>
      <c r="K59" s="17" t="s">
        <v>40</v>
      </c>
    </row>
    <row r="60" spans="1:11">
      <c r="A60" s="19">
        <v>0</v>
      </c>
      <c r="B60" s="19">
        <f>A60</f>
        <v>0</v>
      </c>
      <c r="C60" s="20">
        <v>0</v>
      </c>
      <c r="D60" s="19">
        <f t="shared" ref="D60:D80" si="18">IF(C60&gt;15,C60-(C60-15)/2,C60)</f>
        <v>0</v>
      </c>
      <c r="E60" s="19">
        <v>0</v>
      </c>
      <c r="F60" s="19">
        <f t="shared" ref="F60:F80" si="19">3.1416*C$56*A60/12</f>
        <v>0</v>
      </c>
      <c r="G60" s="21">
        <f>0.02*D60/C$57</f>
        <v>0</v>
      </c>
      <c r="H60" s="22">
        <f t="shared" ref="H60:H80" si="20">G60*F60</f>
        <v>0</v>
      </c>
      <c r="I60" s="22">
        <f>H60*F60</f>
        <v>0</v>
      </c>
      <c r="J60" s="22">
        <f t="shared" ref="J60:J80" si="21">4*D60/C$57*3.1416*C$56*C$56/4/144</f>
        <v>0</v>
      </c>
      <c r="K60" s="23">
        <f>0.75*(I60+J60)</f>
        <v>0</v>
      </c>
    </row>
    <row r="61" spans="1:11">
      <c r="A61" s="19">
        <v>5</v>
      </c>
      <c r="B61" s="19">
        <f t="shared" ref="B61:B80" si="22">B60+A61</f>
        <v>5</v>
      </c>
      <c r="C61" s="20">
        <v>2</v>
      </c>
      <c r="D61" s="19">
        <f t="shared" si="18"/>
        <v>2</v>
      </c>
      <c r="E61" s="19">
        <f t="shared" ref="E61:E80" si="23">(D60+D61)/2</f>
        <v>1</v>
      </c>
      <c r="F61" s="19">
        <f t="shared" si="19"/>
        <v>26.180000000000003</v>
      </c>
      <c r="G61" s="21">
        <f t="shared" ref="G61:G80" si="24">0.02*E61/C$57</f>
        <v>6.6666666666666671E-3</v>
      </c>
      <c r="H61" s="22">
        <f t="shared" si="20"/>
        <v>0.17453333333333337</v>
      </c>
      <c r="I61" s="22">
        <f t="shared" ref="I61:I80" si="25">I60+H61</f>
        <v>0.17453333333333337</v>
      </c>
      <c r="J61" s="22">
        <f t="shared" si="21"/>
        <v>5.8177777777777777</v>
      </c>
      <c r="K61" s="23">
        <f t="shared" ref="K61:K80" si="26">0.75*(I61+J61)</f>
        <v>4.4942333333333337</v>
      </c>
    </row>
    <row r="62" spans="1:11">
      <c r="A62" s="19">
        <v>5</v>
      </c>
      <c r="B62" s="19">
        <f t="shared" si="22"/>
        <v>10</v>
      </c>
      <c r="C62" s="20">
        <v>3</v>
      </c>
      <c r="D62" s="19">
        <f t="shared" si="18"/>
        <v>3</v>
      </c>
      <c r="E62" s="19">
        <f t="shared" si="23"/>
        <v>2.5</v>
      </c>
      <c r="F62" s="19">
        <f t="shared" si="19"/>
        <v>26.180000000000003</v>
      </c>
      <c r="G62" s="21">
        <f t="shared" si="24"/>
        <v>1.6666666666666666E-2</v>
      </c>
      <c r="H62" s="22">
        <f t="shared" si="20"/>
        <v>0.43633333333333341</v>
      </c>
      <c r="I62" s="22">
        <f t="shared" si="25"/>
        <v>0.61086666666666678</v>
      </c>
      <c r="J62" s="22">
        <f t="shared" si="21"/>
        <v>8.7266666666666666</v>
      </c>
      <c r="K62" s="23">
        <f t="shared" si="26"/>
        <v>7.0031499999999998</v>
      </c>
    </row>
    <row r="63" spans="1:11">
      <c r="A63" s="19">
        <v>5</v>
      </c>
      <c r="B63" s="19">
        <f t="shared" si="22"/>
        <v>15</v>
      </c>
      <c r="C63" s="20">
        <v>10</v>
      </c>
      <c r="D63" s="19">
        <f t="shared" si="18"/>
        <v>10</v>
      </c>
      <c r="E63" s="19">
        <f t="shared" si="23"/>
        <v>6.5</v>
      </c>
      <c r="F63" s="19">
        <f t="shared" si="19"/>
        <v>26.180000000000003</v>
      </c>
      <c r="G63" s="21">
        <f t="shared" si="24"/>
        <v>4.3333333333333335E-2</v>
      </c>
      <c r="H63" s="22">
        <f t="shared" si="20"/>
        <v>1.134466666666667</v>
      </c>
      <c r="I63" s="22">
        <f t="shared" si="25"/>
        <v>1.7453333333333338</v>
      </c>
      <c r="J63" s="22">
        <f t="shared" si="21"/>
        <v>29.088888888888889</v>
      </c>
      <c r="K63" s="23">
        <f t="shared" si="26"/>
        <v>23.125666666666667</v>
      </c>
    </row>
    <row r="64" spans="1:11">
      <c r="A64" s="19">
        <v>5</v>
      </c>
      <c r="B64" s="19">
        <f t="shared" si="22"/>
        <v>20</v>
      </c>
      <c r="C64" s="20">
        <v>12</v>
      </c>
      <c r="D64" s="19">
        <f t="shared" si="18"/>
        <v>12</v>
      </c>
      <c r="E64" s="19">
        <f t="shared" si="23"/>
        <v>11</v>
      </c>
      <c r="F64" s="19">
        <f t="shared" si="19"/>
        <v>26.180000000000003</v>
      </c>
      <c r="G64" s="21">
        <f t="shared" si="24"/>
        <v>7.3333333333333334E-2</v>
      </c>
      <c r="H64" s="22">
        <f t="shared" si="20"/>
        <v>1.9198666666666668</v>
      </c>
      <c r="I64" s="22">
        <f t="shared" si="25"/>
        <v>3.6652000000000005</v>
      </c>
      <c r="J64" s="22">
        <f t="shared" si="21"/>
        <v>34.906666666666666</v>
      </c>
      <c r="K64" s="23">
        <f t="shared" si="26"/>
        <v>28.928899999999999</v>
      </c>
    </row>
    <row r="65" spans="1:11">
      <c r="A65" s="19">
        <v>5</v>
      </c>
      <c r="B65" s="19">
        <f t="shared" si="22"/>
        <v>25</v>
      </c>
      <c r="C65" s="20">
        <v>13</v>
      </c>
      <c r="D65" s="19">
        <f t="shared" si="18"/>
        <v>13</v>
      </c>
      <c r="E65" s="19">
        <f t="shared" si="23"/>
        <v>12.5</v>
      </c>
      <c r="F65" s="19">
        <f t="shared" si="19"/>
        <v>26.180000000000003</v>
      </c>
      <c r="G65" s="21">
        <f t="shared" si="24"/>
        <v>8.3333333333333329E-2</v>
      </c>
      <c r="H65" s="22">
        <f t="shared" si="20"/>
        <v>2.1816666666666666</v>
      </c>
      <c r="I65" s="22">
        <f t="shared" si="25"/>
        <v>5.8468666666666671</v>
      </c>
      <c r="J65" s="22">
        <f t="shared" si="21"/>
        <v>37.815555555555548</v>
      </c>
      <c r="K65" s="23">
        <f t="shared" si="26"/>
        <v>32.74681666666666</v>
      </c>
    </row>
    <row r="66" spans="1:11">
      <c r="A66" s="19">
        <v>5</v>
      </c>
      <c r="B66" s="19">
        <f t="shared" si="22"/>
        <v>30</v>
      </c>
      <c r="C66" s="20">
        <v>10</v>
      </c>
      <c r="D66" s="19">
        <f t="shared" si="18"/>
        <v>10</v>
      </c>
      <c r="E66" s="19">
        <f t="shared" si="23"/>
        <v>11.5</v>
      </c>
      <c r="F66" s="19">
        <f t="shared" si="19"/>
        <v>26.180000000000003</v>
      </c>
      <c r="G66" s="21">
        <f t="shared" si="24"/>
        <v>7.6666666666666675E-2</v>
      </c>
      <c r="H66" s="22">
        <f t="shared" si="20"/>
        <v>2.0071333333333339</v>
      </c>
      <c r="I66" s="22">
        <f t="shared" si="25"/>
        <v>7.854000000000001</v>
      </c>
      <c r="J66" s="22">
        <f t="shared" si="21"/>
        <v>29.088888888888889</v>
      </c>
      <c r="K66" s="23">
        <f t="shared" si="26"/>
        <v>27.707166666666666</v>
      </c>
    </row>
    <row r="67" spans="1:11">
      <c r="A67" s="19">
        <v>5</v>
      </c>
      <c r="B67" s="19">
        <f t="shared" si="22"/>
        <v>35</v>
      </c>
      <c r="C67" s="20">
        <v>7</v>
      </c>
      <c r="D67" s="19">
        <f t="shared" si="18"/>
        <v>7</v>
      </c>
      <c r="E67" s="19">
        <f t="shared" si="23"/>
        <v>8.5</v>
      </c>
      <c r="F67" s="19">
        <f t="shared" si="19"/>
        <v>26.180000000000003</v>
      </c>
      <c r="G67" s="21">
        <f t="shared" si="24"/>
        <v>5.6666666666666671E-2</v>
      </c>
      <c r="H67" s="22">
        <f t="shared" si="20"/>
        <v>1.4835333333333336</v>
      </c>
      <c r="I67" s="22">
        <f t="shared" si="25"/>
        <v>9.3375333333333348</v>
      </c>
      <c r="J67" s="22">
        <f t="shared" si="21"/>
        <v>20.362222222222222</v>
      </c>
      <c r="K67" s="23">
        <f t="shared" si="26"/>
        <v>22.274816666666666</v>
      </c>
    </row>
    <row r="68" spans="1:11">
      <c r="A68" s="19">
        <v>5</v>
      </c>
      <c r="B68" s="19">
        <f t="shared" si="22"/>
        <v>40</v>
      </c>
      <c r="C68" s="20">
        <v>6</v>
      </c>
      <c r="D68" s="19">
        <f t="shared" si="18"/>
        <v>6</v>
      </c>
      <c r="E68" s="19">
        <f t="shared" si="23"/>
        <v>6.5</v>
      </c>
      <c r="F68" s="19">
        <f t="shared" si="19"/>
        <v>26.180000000000003</v>
      </c>
      <c r="G68" s="21">
        <f t="shared" si="24"/>
        <v>4.3333333333333335E-2</v>
      </c>
      <c r="H68" s="22">
        <f t="shared" si="20"/>
        <v>1.134466666666667</v>
      </c>
      <c r="I68" s="22">
        <f t="shared" si="25"/>
        <v>10.472000000000001</v>
      </c>
      <c r="J68" s="22">
        <f t="shared" si="21"/>
        <v>17.453333333333333</v>
      </c>
      <c r="K68" s="23">
        <f t="shared" si="26"/>
        <v>20.944000000000003</v>
      </c>
    </row>
    <row r="69" spans="1:11">
      <c r="A69" s="19">
        <v>5</v>
      </c>
      <c r="B69" s="19">
        <f t="shared" si="22"/>
        <v>45</v>
      </c>
      <c r="C69" s="20">
        <v>14</v>
      </c>
      <c r="D69" s="19">
        <f t="shared" si="18"/>
        <v>14</v>
      </c>
      <c r="E69" s="19">
        <f t="shared" si="23"/>
        <v>10</v>
      </c>
      <c r="F69" s="19">
        <f t="shared" si="19"/>
        <v>26.180000000000003</v>
      </c>
      <c r="G69" s="21">
        <f t="shared" si="24"/>
        <v>6.6666666666666666E-2</v>
      </c>
      <c r="H69" s="22">
        <f t="shared" si="20"/>
        <v>1.7453333333333336</v>
      </c>
      <c r="I69" s="22">
        <f t="shared" si="25"/>
        <v>12.217333333333334</v>
      </c>
      <c r="J69" s="22">
        <f t="shared" si="21"/>
        <v>40.724444444444444</v>
      </c>
      <c r="K69" s="23">
        <f t="shared" si="26"/>
        <v>39.706333333333333</v>
      </c>
    </row>
    <row r="70" spans="1:11" s="29" customFormat="1">
      <c r="A70" s="24">
        <v>5</v>
      </c>
      <c r="B70" s="24">
        <f t="shared" si="22"/>
        <v>50</v>
      </c>
      <c r="C70" s="25">
        <v>17</v>
      </c>
      <c r="D70" s="24">
        <f t="shared" si="18"/>
        <v>16</v>
      </c>
      <c r="E70" s="24">
        <f t="shared" si="23"/>
        <v>15</v>
      </c>
      <c r="F70" s="24">
        <f t="shared" si="19"/>
        <v>26.180000000000003</v>
      </c>
      <c r="G70" s="26">
        <f t="shared" si="24"/>
        <v>9.9999999999999992E-2</v>
      </c>
      <c r="H70" s="27">
        <f t="shared" si="20"/>
        <v>2.6180000000000003</v>
      </c>
      <c r="I70" s="27">
        <f t="shared" si="25"/>
        <v>14.835333333333335</v>
      </c>
      <c r="J70" s="27">
        <f t="shared" si="21"/>
        <v>46.542222222222222</v>
      </c>
      <c r="K70" s="28">
        <f t="shared" si="26"/>
        <v>46.033166666666673</v>
      </c>
    </row>
    <row r="71" spans="1:11">
      <c r="A71" s="19">
        <v>5</v>
      </c>
      <c r="B71" s="19">
        <f t="shared" si="22"/>
        <v>55</v>
      </c>
      <c r="C71" s="20">
        <v>24</v>
      </c>
      <c r="D71" s="19">
        <f t="shared" si="18"/>
        <v>19.5</v>
      </c>
      <c r="E71" s="19">
        <f t="shared" si="23"/>
        <v>17.75</v>
      </c>
      <c r="F71" s="19">
        <f t="shared" si="19"/>
        <v>26.180000000000003</v>
      </c>
      <c r="G71" s="21">
        <f t="shared" si="24"/>
        <v>0.11833333333333333</v>
      </c>
      <c r="H71" s="22">
        <f t="shared" si="20"/>
        <v>3.0979666666666672</v>
      </c>
      <c r="I71" s="22">
        <f t="shared" si="25"/>
        <v>17.933300000000003</v>
      </c>
      <c r="J71" s="22">
        <f t="shared" si="21"/>
        <v>56.723333333333329</v>
      </c>
      <c r="K71" s="23">
        <f t="shared" si="26"/>
        <v>55.992474999999999</v>
      </c>
    </row>
    <row r="72" spans="1:11" s="34" customFormat="1">
      <c r="A72" s="30">
        <v>5</v>
      </c>
      <c r="B72" s="30">
        <f t="shared" si="22"/>
        <v>60</v>
      </c>
      <c r="C72" s="20">
        <v>24</v>
      </c>
      <c r="D72" s="30">
        <f t="shared" si="18"/>
        <v>19.5</v>
      </c>
      <c r="E72" s="30">
        <f t="shared" si="23"/>
        <v>19.5</v>
      </c>
      <c r="F72" s="30">
        <f t="shared" si="19"/>
        <v>26.180000000000003</v>
      </c>
      <c r="G72" s="31">
        <f t="shared" si="24"/>
        <v>0.13</v>
      </c>
      <c r="H72" s="32">
        <f t="shared" si="20"/>
        <v>3.4034000000000004</v>
      </c>
      <c r="I72" s="32">
        <f t="shared" si="25"/>
        <v>21.336700000000004</v>
      </c>
      <c r="J72" s="32">
        <f t="shared" si="21"/>
        <v>56.723333333333329</v>
      </c>
      <c r="K72" s="33">
        <f t="shared" si="26"/>
        <v>58.545025000000003</v>
      </c>
    </row>
    <row r="73" spans="1:11">
      <c r="A73" s="19">
        <v>5</v>
      </c>
      <c r="B73" s="19">
        <f t="shared" si="22"/>
        <v>65</v>
      </c>
      <c r="C73" s="20">
        <v>18</v>
      </c>
      <c r="D73" s="19">
        <f t="shared" si="18"/>
        <v>16.5</v>
      </c>
      <c r="E73" s="19">
        <f t="shared" si="23"/>
        <v>18</v>
      </c>
      <c r="F73" s="19">
        <f t="shared" si="19"/>
        <v>26.180000000000003</v>
      </c>
      <c r="G73" s="21">
        <f t="shared" si="24"/>
        <v>0.12</v>
      </c>
      <c r="H73" s="22">
        <f t="shared" si="20"/>
        <v>3.1416000000000004</v>
      </c>
      <c r="I73" s="22">
        <f t="shared" si="25"/>
        <v>24.478300000000004</v>
      </c>
      <c r="J73" s="22">
        <f t="shared" si="21"/>
        <v>47.99666666666667</v>
      </c>
      <c r="K73" s="23">
        <f t="shared" si="26"/>
        <v>54.356225000000009</v>
      </c>
    </row>
    <row r="74" spans="1:11" s="34" customFormat="1">
      <c r="A74" s="30">
        <v>5</v>
      </c>
      <c r="B74" s="30">
        <f t="shared" si="22"/>
        <v>70</v>
      </c>
      <c r="C74" s="39">
        <v>27</v>
      </c>
      <c r="D74" s="30">
        <f t="shared" si="18"/>
        <v>21</v>
      </c>
      <c r="E74" s="30">
        <f t="shared" si="23"/>
        <v>18.75</v>
      </c>
      <c r="F74" s="30">
        <f t="shared" si="19"/>
        <v>26.180000000000003</v>
      </c>
      <c r="G74" s="31">
        <f t="shared" si="24"/>
        <v>0.125</v>
      </c>
      <c r="H74" s="32">
        <f t="shared" si="20"/>
        <v>3.2725000000000004</v>
      </c>
      <c r="I74" s="32">
        <f t="shared" si="25"/>
        <v>27.750800000000005</v>
      </c>
      <c r="J74" s="32">
        <f t="shared" si="21"/>
        <v>61.086666666666666</v>
      </c>
      <c r="K74" s="33">
        <f t="shared" si="26"/>
        <v>66.628100000000003</v>
      </c>
    </row>
    <row r="75" spans="1:11">
      <c r="A75" s="19">
        <v>5</v>
      </c>
      <c r="B75" s="19">
        <f t="shared" si="22"/>
        <v>75</v>
      </c>
      <c r="C75" s="20">
        <v>27</v>
      </c>
      <c r="D75" s="19">
        <f t="shared" si="18"/>
        <v>21</v>
      </c>
      <c r="E75" s="19">
        <f t="shared" si="23"/>
        <v>21</v>
      </c>
      <c r="F75" s="19">
        <f t="shared" si="19"/>
        <v>26.180000000000003</v>
      </c>
      <c r="G75" s="21">
        <f t="shared" si="24"/>
        <v>0.13999999999999999</v>
      </c>
      <c r="H75" s="22">
        <f t="shared" si="20"/>
        <v>3.6652</v>
      </c>
      <c r="I75" s="22">
        <f t="shared" si="25"/>
        <v>31.416000000000004</v>
      </c>
      <c r="J75" s="22">
        <f t="shared" si="21"/>
        <v>61.086666666666666</v>
      </c>
      <c r="K75" s="23">
        <f t="shared" si="26"/>
        <v>69.37700000000001</v>
      </c>
    </row>
    <row r="76" spans="1:11">
      <c r="A76" s="19">
        <v>5</v>
      </c>
      <c r="B76" s="19">
        <f t="shared" si="22"/>
        <v>80</v>
      </c>
      <c r="C76" s="20">
        <v>47</v>
      </c>
      <c r="D76" s="19">
        <f t="shared" si="18"/>
        <v>31</v>
      </c>
      <c r="E76" s="19">
        <f t="shared" si="23"/>
        <v>26</v>
      </c>
      <c r="F76" s="19">
        <f t="shared" si="19"/>
        <v>26.180000000000003</v>
      </c>
      <c r="G76" s="21">
        <f t="shared" si="24"/>
        <v>0.17333333333333334</v>
      </c>
      <c r="H76" s="22">
        <f t="shared" si="20"/>
        <v>4.5378666666666678</v>
      </c>
      <c r="I76" s="22">
        <f t="shared" si="25"/>
        <v>35.95386666666667</v>
      </c>
      <c r="J76" s="22">
        <f t="shared" si="21"/>
        <v>90.175555555555562</v>
      </c>
      <c r="K76" s="23">
        <f t="shared" si="26"/>
        <v>94.597066666666677</v>
      </c>
    </row>
    <row r="77" spans="1:11">
      <c r="A77" s="19">
        <v>5</v>
      </c>
      <c r="B77" s="19">
        <f t="shared" si="22"/>
        <v>85</v>
      </c>
      <c r="C77" s="20">
        <v>27</v>
      </c>
      <c r="D77" s="19">
        <f t="shared" si="18"/>
        <v>21</v>
      </c>
      <c r="E77" s="19">
        <f t="shared" si="23"/>
        <v>26</v>
      </c>
      <c r="F77" s="19">
        <f t="shared" si="19"/>
        <v>26.180000000000003</v>
      </c>
      <c r="G77" s="21">
        <f t="shared" si="24"/>
        <v>0.17333333333333334</v>
      </c>
      <c r="H77" s="22">
        <f t="shared" si="20"/>
        <v>4.5378666666666678</v>
      </c>
      <c r="I77" s="22">
        <f t="shared" si="25"/>
        <v>40.491733333333336</v>
      </c>
      <c r="J77" s="22">
        <f t="shared" si="21"/>
        <v>61.086666666666666</v>
      </c>
      <c r="K77" s="23">
        <f t="shared" si="26"/>
        <v>76.183800000000005</v>
      </c>
    </row>
    <row r="78" spans="1:11">
      <c r="A78" s="19">
        <v>5</v>
      </c>
      <c r="B78" s="19">
        <f t="shared" si="22"/>
        <v>90</v>
      </c>
      <c r="C78" s="20">
        <v>15</v>
      </c>
      <c r="D78" s="19">
        <f t="shared" si="18"/>
        <v>15</v>
      </c>
      <c r="E78" s="19">
        <f t="shared" si="23"/>
        <v>18</v>
      </c>
      <c r="F78" s="19">
        <f t="shared" si="19"/>
        <v>26.180000000000003</v>
      </c>
      <c r="G78" s="21">
        <f t="shared" si="24"/>
        <v>0.12</v>
      </c>
      <c r="H78" s="22">
        <f t="shared" si="20"/>
        <v>3.1416000000000004</v>
      </c>
      <c r="I78" s="22">
        <f t="shared" si="25"/>
        <v>43.63333333333334</v>
      </c>
      <c r="J78" s="22">
        <f t="shared" si="21"/>
        <v>43.63333333333334</v>
      </c>
      <c r="K78" s="23">
        <f t="shared" si="26"/>
        <v>65.450000000000017</v>
      </c>
    </row>
    <row r="79" spans="1:11">
      <c r="A79" s="19">
        <v>5</v>
      </c>
      <c r="B79" s="19">
        <f t="shared" si="22"/>
        <v>95</v>
      </c>
      <c r="C79" s="20">
        <v>20</v>
      </c>
      <c r="D79" s="19">
        <f t="shared" si="18"/>
        <v>17.5</v>
      </c>
      <c r="E79" s="19">
        <f t="shared" si="23"/>
        <v>16.25</v>
      </c>
      <c r="F79" s="19">
        <f t="shared" si="19"/>
        <v>26.180000000000003</v>
      </c>
      <c r="G79" s="21">
        <f t="shared" si="24"/>
        <v>0.10833333333333334</v>
      </c>
      <c r="H79" s="22">
        <f t="shared" si="20"/>
        <v>2.8361666666666672</v>
      </c>
      <c r="I79" s="22">
        <f t="shared" si="25"/>
        <v>46.469500000000011</v>
      </c>
      <c r="J79" s="22">
        <f t="shared" si="21"/>
        <v>50.905555555555551</v>
      </c>
      <c r="K79" s="23">
        <f t="shared" si="26"/>
        <v>73.031291666666675</v>
      </c>
    </row>
    <row r="80" spans="1:11">
      <c r="A80" s="19">
        <v>5</v>
      </c>
      <c r="B80" s="19">
        <f t="shared" si="22"/>
        <v>100</v>
      </c>
      <c r="C80" s="20">
        <v>29</v>
      </c>
      <c r="D80" s="19">
        <f t="shared" si="18"/>
        <v>22</v>
      </c>
      <c r="E80" s="19">
        <f t="shared" si="23"/>
        <v>19.75</v>
      </c>
      <c r="F80" s="19">
        <f t="shared" si="19"/>
        <v>26.180000000000003</v>
      </c>
      <c r="G80" s="21">
        <f t="shared" si="24"/>
        <v>0.13166666666666668</v>
      </c>
      <c r="H80" s="22">
        <f t="shared" si="20"/>
        <v>3.4470333333333341</v>
      </c>
      <c r="I80" s="22">
        <f t="shared" si="25"/>
        <v>49.916533333333348</v>
      </c>
      <c r="J80" s="22">
        <f t="shared" si="21"/>
        <v>63.995555555555548</v>
      </c>
      <c r="K80" s="23">
        <f t="shared" si="26"/>
        <v>85.434066666666666</v>
      </c>
    </row>
  </sheetData>
  <mergeCells count="8">
    <mergeCell ref="A56:B56"/>
    <mergeCell ref="A57:B57"/>
    <mergeCell ref="A1:K1"/>
    <mergeCell ref="A2:K2"/>
    <mergeCell ref="A4:B4"/>
    <mergeCell ref="A5:B5"/>
    <mergeCell ref="A30:B30"/>
    <mergeCell ref="A31: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3"/>
  <sheetViews>
    <sheetView topLeftCell="A55" workbookViewId="0">
      <selection activeCell="E22" sqref="E22"/>
    </sheetView>
  </sheetViews>
  <sheetFormatPr defaultColWidth="14.4140625" defaultRowHeight="15" customHeight="1"/>
  <cols>
    <col min="1" max="4" width="7.58203125" style="42" customWidth="1"/>
    <col min="5" max="5" width="8" style="42" bestFit="1" customWidth="1"/>
    <col min="6" max="10" width="7.58203125" style="42" customWidth="1"/>
    <col min="11" max="11" width="5.83203125" style="42" customWidth="1"/>
    <col min="12" max="12" width="6.58203125" style="42" customWidth="1"/>
    <col min="13" max="13" width="5.75" style="42" customWidth="1"/>
    <col min="14" max="14" width="3.75" style="42" customWidth="1"/>
    <col min="15" max="15" width="5.75" style="42" customWidth="1"/>
    <col min="16" max="16" width="4.75" style="42" customWidth="1"/>
    <col min="17" max="18" width="7.58203125" style="42" customWidth="1"/>
    <col min="19" max="19" width="6.4140625" style="42" customWidth="1"/>
    <col min="20" max="20" width="6.83203125" style="42" customWidth="1"/>
    <col min="21" max="21" width="4" style="42" customWidth="1"/>
    <col min="22" max="22" width="5.25" style="42" customWidth="1"/>
    <col min="23" max="23" width="5.1640625" style="42" customWidth="1"/>
    <col min="24" max="24" width="9.1640625" style="42" customWidth="1"/>
    <col min="25" max="38" width="4.1640625" style="42" customWidth="1"/>
    <col min="39" max="50" width="9.1640625" style="42" customWidth="1"/>
    <col min="51" max="16384" width="14.4140625" style="42"/>
  </cols>
  <sheetData>
    <row r="1" spans="1:50" ht="21" customHeight="1" thickBot="1">
      <c r="A1" s="166" t="s">
        <v>41</v>
      </c>
      <c r="B1" s="167"/>
      <c r="C1" s="167"/>
      <c r="D1" s="167"/>
      <c r="E1" s="167"/>
      <c r="F1" s="167"/>
      <c r="G1" s="167"/>
      <c r="H1" s="167"/>
      <c r="I1" s="167"/>
      <c r="J1" s="167"/>
      <c r="K1" s="167"/>
      <c r="L1" s="167"/>
      <c r="M1" s="167"/>
      <c r="N1" s="167"/>
      <c r="O1" s="167"/>
      <c r="P1" s="167"/>
      <c r="Q1" s="167"/>
      <c r="R1" s="167"/>
      <c r="S1" s="167"/>
      <c r="T1" s="168"/>
      <c r="U1" s="40"/>
      <c r="V1" s="40"/>
      <c r="W1" s="40"/>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row>
    <row r="2" spans="1:50" ht="21" customHeight="1" thickBot="1">
      <c r="A2" s="43" t="s">
        <v>42</v>
      </c>
      <c r="B2" s="169"/>
      <c r="C2" s="167"/>
      <c r="D2" s="168"/>
      <c r="E2" s="170" t="s">
        <v>43</v>
      </c>
      <c r="F2" s="168"/>
      <c r="G2" s="169"/>
      <c r="H2" s="167"/>
      <c r="I2" s="168"/>
      <c r="J2" s="171" t="s">
        <v>44</v>
      </c>
      <c r="K2" s="172"/>
      <c r="L2" s="173"/>
      <c r="M2" s="174"/>
      <c r="N2" s="174"/>
      <c r="O2" s="174"/>
      <c r="P2" s="174"/>
      <c r="Q2" s="172"/>
      <c r="R2" s="44" t="s">
        <v>45</v>
      </c>
      <c r="S2" s="173"/>
      <c r="T2" s="172"/>
      <c r="U2" s="45"/>
      <c r="V2" s="45"/>
      <c r="W2" s="45"/>
      <c r="X2" s="46"/>
      <c r="Y2" s="41"/>
      <c r="Z2" s="41"/>
      <c r="AA2" s="41"/>
      <c r="AB2" s="41"/>
      <c r="AC2" s="41"/>
      <c r="AD2" s="41"/>
      <c r="AE2" s="41"/>
      <c r="AF2" s="41"/>
      <c r="AG2" s="41"/>
      <c r="AH2" s="41"/>
      <c r="AI2" s="41"/>
      <c r="AJ2" s="41"/>
      <c r="AK2" s="41"/>
      <c r="AL2" s="41"/>
      <c r="AN2" s="41"/>
      <c r="AO2" s="41"/>
      <c r="AP2" s="41"/>
      <c r="AQ2" s="41"/>
      <c r="AR2" s="41"/>
      <c r="AS2" s="41"/>
      <c r="AT2" s="41"/>
      <c r="AU2" s="41"/>
      <c r="AV2" s="41"/>
      <c r="AW2" s="41"/>
      <c r="AX2" s="41"/>
    </row>
    <row r="3" spans="1:50" ht="15" customHeight="1">
      <c r="A3" s="47" t="s">
        <v>46</v>
      </c>
      <c r="B3" s="48"/>
      <c r="C3" s="48"/>
      <c r="D3" s="48"/>
      <c r="E3" s="48"/>
      <c r="F3" s="48" t="s">
        <v>47</v>
      </c>
      <c r="G3" s="48"/>
      <c r="H3" s="175" t="s">
        <v>48</v>
      </c>
      <c r="I3" s="176"/>
      <c r="J3" s="47" t="s">
        <v>49</v>
      </c>
      <c r="K3" s="48"/>
      <c r="L3" s="48"/>
      <c r="M3" s="48"/>
      <c r="N3" s="48"/>
      <c r="O3" s="48"/>
      <c r="P3" s="48"/>
      <c r="Q3" s="48"/>
      <c r="R3" s="48"/>
      <c r="S3" s="48"/>
      <c r="T3" s="49"/>
      <c r="U3" s="41"/>
      <c r="V3" s="41"/>
      <c r="W3" s="41"/>
      <c r="X3" s="50"/>
      <c r="Y3" s="41"/>
      <c r="Z3" s="51" t="s">
        <v>50</v>
      </c>
      <c r="AA3" s="51"/>
      <c r="AB3" s="51"/>
      <c r="AC3" s="51"/>
      <c r="AD3" s="51"/>
      <c r="AE3" s="52"/>
      <c r="AF3" s="53"/>
      <c r="AG3" s="52"/>
      <c r="AH3" s="52"/>
      <c r="AI3" s="41"/>
      <c r="AJ3" s="41"/>
      <c r="AK3" s="41"/>
      <c r="AL3" s="41"/>
      <c r="AM3" s="54"/>
      <c r="AN3" s="41"/>
      <c r="AO3" s="41"/>
      <c r="AP3" s="41"/>
      <c r="AQ3" s="41"/>
      <c r="AR3" s="41"/>
      <c r="AS3" s="41"/>
      <c r="AT3" s="41"/>
      <c r="AU3" s="41"/>
      <c r="AV3" s="41"/>
      <c r="AW3" s="41"/>
      <c r="AX3" s="41"/>
    </row>
    <row r="4" spans="1:50" ht="15" customHeight="1">
      <c r="A4" s="55"/>
      <c r="B4" s="41" t="s">
        <v>51</v>
      </c>
      <c r="C4" s="41"/>
      <c r="D4" s="41" t="s">
        <v>1</v>
      </c>
      <c r="E4" s="56">
        <v>1</v>
      </c>
      <c r="F4" s="57" t="s">
        <v>4</v>
      </c>
      <c r="G4" s="57"/>
      <c r="H4" s="58">
        <f t="shared" ref="H4:H5" si="0">E4*3.281*12</f>
        <v>39.372</v>
      </c>
      <c r="I4" s="59" t="s">
        <v>27</v>
      </c>
      <c r="J4" s="177" t="s">
        <v>52</v>
      </c>
      <c r="K4" s="178"/>
      <c r="L4" s="178"/>
      <c r="M4" s="178"/>
      <c r="N4" s="178"/>
      <c r="O4" s="178"/>
      <c r="P4" s="178"/>
      <c r="Q4" s="60">
        <f>(((1.15*E25)/E20)*(1+(E26/E25)*(1+(E27/E25))))</f>
        <v>10.377217741935485</v>
      </c>
      <c r="R4" s="41"/>
      <c r="S4" s="57"/>
      <c r="T4" s="61"/>
      <c r="U4" s="41"/>
      <c r="V4" s="41"/>
      <c r="W4" s="41"/>
      <c r="X4" s="50"/>
      <c r="Y4" s="41"/>
      <c r="Z4" s="41"/>
      <c r="AA4" s="41"/>
      <c r="AB4" s="41"/>
      <c r="AC4" s="41"/>
      <c r="AD4" s="62" t="s">
        <v>53</v>
      </c>
      <c r="AE4" s="41"/>
      <c r="AF4" s="41"/>
      <c r="AG4" s="41"/>
      <c r="AH4" s="41"/>
      <c r="AI4" s="41"/>
      <c r="AJ4" s="41"/>
      <c r="AK4" s="41"/>
      <c r="AL4" s="41"/>
      <c r="AM4" s="41"/>
      <c r="AN4" s="41"/>
      <c r="AO4" s="41"/>
      <c r="AP4" s="41"/>
      <c r="AQ4" s="41"/>
      <c r="AR4" s="41"/>
      <c r="AS4" s="41"/>
      <c r="AT4" s="41"/>
      <c r="AU4" s="41"/>
      <c r="AV4" s="41"/>
      <c r="AW4" s="41"/>
      <c r="AX4" s="41"/>
    </row>
    <row r="5" spans="1:50" ht="15" customHeight="1" thickBot="1">
      <c r="A5" s="63"/>
      <c r="B5" s="64" t="s">
        <v>54</v>
      </c>
      <c r="C5" s="64"/>
      <c r="D5" s="64" t="s">
        <v>1</v>
      </c>
      <c r="E5" s="65">
        <v>0.6</v>
      </c>
      <c r="F5" s="66" t="s">
        <v>4</v>
      </c>
      <c r="G5" s="66"/>
      <c r="H5" s="67">
        <f t="shared" si="0"/>
        <v>23.623199999999997</v>
      </c>
      <c r="I5" s="68" t="s">
        <v>27</v>
      </c>
      <c r="J5" s="69"/>
      <c r="K5" s="179" t="s">
        <v>55</v>
      </c>
      <c r="L5" s="180"/>
      <c r="M5" s="180"/>
      <c r="N5" s="180"/>
      <c r="O5" s="180"/>
      <c r="P5" s="181"/>
      <c r="Q5" s="70">
        <v>11</v>
      </c>
      <c r="R5" s="41"/>
      <c r="S5" s="57"/>
      <c r="T5" s="71"/>
      <c r="U5" s="57"/>
      <c r="V5" s="57"/>
      <c r="W5" s="57"/>
      <c r="X5" s="50"/>
      <c r="Y5" s="57"/>
      <c r="Z5" s="57"/>
      <c r="AA5" s="57"/>
      <c r="AB5" s="72"/>
      <c r="AC5" s="73"/>
      <c r="AD5" s="73"/>
      <c r="AE5" s="73"/>
      <c r="AF5" s="74"/>
      <c r="AG5" s="57"/>
      <c r="AH5" s="41"/>
      <c r="AI5" s="41"/>
      <c r="AJ5" s="41"/>
      <c r="AK5" s="41"/>
      <c r="AL5" s="41"/>
      <c r="AM5" s="41"/>
      <c r="AN5" s="41"/>
      <c r="AO5" s="41"/>
      <c r="AP5" s="41"/>
      <c r="AQ5" s="41"/>
      <c r="AR5" s="41"/>
      <c r="AS5" s="41"/>
      <c r="AT5" s="41"/>
      <c r="AU5" s="41"/>
      <c r="AV5" s="41"/>
      <c r="AW5" s="41"/>
      <c r="AX5" s="41"/>
    </row>
    <row r="6" spans="1:50" ht="15" customHeight="1">
      <c r="A6" s="47" t="s">
        <v>56</v>
      </c>
      <c r="B6" s="48"/>
      <c r="C6" s="48"/>
      <c r="D6" s="48"/>
      <c r="E6" s="48"/>
      <c r="F6" s="48"/>
      <c r="G6" s="75"/>
      <c r="H6" s="76"/>
      <c r="I6" s="77"/>
      <c r="J6" s="182" t="s">
        <v>57</v>
      </c>
      <c r="K6" s="183"/>
      <c r="L6" s="183"/>
      <c r="M6" s="184"/>
      <c r="N6" s="78"/>
      <c r="O6" s="185" t="s">
        <v>48</v>
      </c>
      <c r="P6" s="184"/>
      <c r="Q6" s="185" t="s">
        <v>58</v>
      </c>
      <c r="R6" s="183"/>
      <c r="S6" s="183"/>
      <c r="T6" s="200"/>
      <c r="U6" s="79"/>
      <c r="V6" s="185" t="s">
        <v>48</v>
      </c>
      <c r="W6" s="184"/>
      <c r="X6" s="50"/>
      <c r="Y6" s="57"/>
      <c r="Z6" s="57"/>
      <c r="AA6" s="57"/>
      <c r="AB6" s="80"/>
      <c r="AC6" s="81">
        <v>11</v>
      </c>
      <c r="AD6" s="82"/>
      <c r="AE6" s="81">
        <v>12</v>
      </c>
      <c r="AF6" s="83"/>
      <c r="AG6" s="57"/>
      <c r="AH6" s="41"/>
      <c r="AI6" s="41"/>
      <c r="AJ6" s="41"/>
      <c r="AK6" s="41"/>
      <c r="AL6" s="41"/>
      <c r="AM6" s="41"/>
      <c r="AN6" s="41"/>
      <c r="AO6" s="41"/>
      <c r="AP6" s="41"/>
      <c r="AQ6" s="41"/>
      <c r="AR6" s="41"/>
      <c r="AS6" s="41"/>
      <c r="AT6" s="41"/>
      <c r="AU6" s="41"/>
      <c r="AV6" s="41"/>
      <c r="AW6" s="41"/>
      <c r="AX6" s="41"/>
    </row>
    <row r="7" spans="1:50" ht="15" customHeight="1">
      <c r="A7" s="55"/>
      <c r="B7" s="41"/>
      <c r="C7" s="41"/>
      <c r="D7" s="41"/>
      <c r="E7" s="41"/>
      <c r="F7" s="57"/>
      <c r="G7" s="57"/>
      <c r="H7" s="58"/>
      <c r="I7" s="59"/>
      <c r="J7" s="41" t="s">
        <v>59</v>
      </c>
      <c r="K7" s="41"/>
      <c r="L7" s="41"/>
      <c r="M7" s="84">
        <f>IF(OR($Q$5=4,$Q$5=6,$Q$5=8),2,3)</f>
        <v>3</v>
      </c>
      <c r="N7" s="81"/>
      <c r="O7" s="85"/>
      <c r="P7" s="85"/>
      <c r="Q7" s="41" t="s">
        <v>60</v>
      </c>
      <c r="R7" s="86"/>
      <c r="S7" s="57"/>
      <c r="T7" s="87">
        <f>IF($Q$5=4,2,IF(OR($Q$5=6,$Q$5=9),3,4))</f>
        <v>4</v>
      </c>
      <c r="U7" s="88"/>
      <c r="V7" s="85"/>
      <c r="W7" s="85"/>
      <c r="X7" s="50"/>
      <c r="Y7" s="57"/>
      <c r="Z7" s="57"/>
      <c r="AA7" s="57"/>
      <c r="AB7" s="80"/>
      <c r="AC7" s="82"/>
      <c r="AD7" s="89"/>
      <c r="AE7" s="89"/>
      <c r="AF7" s="83"/>
      <c r="AG7" s="57"/>
      <c r="AH7" s="90" t="s">
        <v>61</v>
      </c>
      <c r="AI7" s="41"/>
      <c r="AJ7" s="41"/>
      <c r="AK7" s="41"/>
      <c r="AL7" s="41"/>
      <c r="AM7" s="41"/>
      <c r="AN7" s="41"/>
      <c r="AO7" s="41"/>
      <c r="AP7" s="41"/>
      <c r="AQ7" s="41"/>
      <c r="AR7" s="41"/>
      <c r="AS7" s="41"/>
      <c r="AT7" s="41"/>
      <c r="AU7" s="41"/>
      <c r="AV7" s="41"/>
      <c r="AW7" s="41"/>
      <c r="AX7" s="41"/>
    </row>
    <row r="8" spans="1:50" ht="15" customHeight="1">
      <c r="A8" s="55"/>
      <c r="B8" s="41"/>
      <c r="C8" s="41"/>
      <c r="D8" s="41"/>
      <c r="E8" s="41"/>
      <c r="F8" s="41"/>
      <c r="G8" s="57"/>
      <c r="H8" s="58"/>
      <c r="I8" s="59"/>
      <c r="J8" s="41" t="s">
        <v>62</v>
      </c>
      <c r="K8" s="41"/>
      <c r="L8" s="41"/>
      <c r="M8" s="81">
        <f>IF($Q$5=4,2,IF(OR($Q$5=6,$Q$5=9),3,4))</f>
        <v>4</v>
      </c>
      <c r="N8" s="81"/>
      <c r="O8" s="85"/>
      <c r="P8" s="85"/>
      <c r="Q8" s="41" t="s">
        <v>63</v>
      </c>
      <c r="R8" s="57"/>
      <c r="S8" s="57"/>
      <c r="T8" s="87">
        <f>IF(OR($Q$5=4,$Q$5=6,$Q$5=8),2,3)</f>
        <v>3</v>
      </c>
      <c r="U8" s="88"/>
      <c r="V8" s="85"/>
      <c r="W8" s="85"/>
      <c r="X8" s="50"/>
      <c r="Y8" s="57"/>
      <c r="Z8" s="57"/>
      <c r="AA8" s="57"/>
      <c r="AB8" s="80"/>
      <c r="AC8" s="81">
        <v>21</v>
      </c>
      <c r="AD8" s="82"/>
      <c r="AE8" s="81">
        <v>22</v>
      </c>
      <c r="AF8" s="83"/>
      <c r="AG8" s="57"/>
      <c r="AH8" s="41"/>
      <c r="AI8" s="41"/>
      <c r="AJ8" s="41"/>
      <c r="AK8" s="41"/>
      <c r="AL8" s="41"/>
      <c r="AM8" s="41"/>
      <c r="AN8" s="41"/>
      <c r="AO8" s="41"/>
      <c r="AP8" s="41"/>
      <c r="AQ8" s="41"/>
      <c r="AR8" s="41"/>
      <c r="AS8" s="41"/>
      <c r="AT8" s="41"/>
      <c r="AU8" s="41"/>
      <c r="AV8" s="57"/>
      <c r="AW8" s="57"/>
      <c r="AX8" s="57"/>
    </row>
    <row r="9" spans="1:50" ht="15" customHeight="1">
      <c r="A9" s="55" t="s">
        <v>64</v>
      </c>
      <c r="B9" s="41" t="s">
        <v>65</v>
      </c>
      <c r="C9" s="41"/>
      <c r="D9" s="41" t="s">
        <v>1</v>
      </c>
      <c r="E9" s="56">
        <v>420</v>
      </c>
      <c r="F9" s="91" t="s">
        <v>66</v>
      </c>
      <c r="G9" s="41"/>
      <c r="H9" s="58">
        <f>E9*0.145038</f>
        <v>60.915959999999998</v>
      </c>
      <c r="I9" s="59" t="s">
        <v>67</v>
      </c>
      <c r="J9" s="41" t="s">
        <v>68</v>
      </c>
      <c r="K9" s="41"/>
      <c r="L9" s="41"/>
      <c r="M9" s="81">
        <f>3*$E$19</f>
        <v>3</v>
      </c>
      <c r="N9" s="81" t="s">
        <v>4</v>
      </c>
      <c r="O9" s="92">
        <f t="shared" ref="O9:O13" si="1">M9*3.281*12</f>
        <v>118.116</v>
      </c>
      <c r="P9" s="85" t="s">
        <v>11</v>
      </c>
      <c r="Q9" s="41" t="s">
        <v>68</v>
      </c>
      <c r="R9" s="57"/>
      <c r="S9" s="93"/>
      <c r="T9" s="87">
        <f>3*$E$19</f>
        <v>3</v>
      </c>
      <c r="U9" s="88" t="s">
        <v>4</v>
      </c>
      <c r="V9" s="92">
        <f t="shared" ref="V9:V13" si="2">T9*3.281*12</f>
        <v>118.116</v>
      </c>
      <c r="W9" s="85" t="s">
        <v>11</v>
      </c>
      <c r="X9" s="50"/>
      <c r="Y9" s="57"/>
      <c r="Z9" s="57"/>
      <c r="AA9" s="57"/>
      <c r="AB9" s="94"/>
      <c r="AC9" s="95"/>
      <c r="AD9" s="95"/>
      <c r="AE9" s="95"/>
      <c r="AF9" s="96"/>
      <c r="AG9" s="57"/>
      <c r="AH9" s="41"/>
      <c r="AI9" s="41"/>
      <c r="AJ9" s="41"/>
      <c r="AK9" s="41"/>
      <c r="AL9" s="41"/>
      <c r="AM9" s="41"/>
      <c r="AN9" s="41"/>
      <c r="AO9" s="41"/>
      <c r="AP9" s="41"/>
      <c r="AQ9" s="41"/>
      <c r="AR9" s="41"/>
      <c r="AS9" s="41"/>
      <c r="AT9" s="41"/>
      <c r="AU9" s="41"/>
      <c r="AV9" s="57"/>
      <c r="AW9" s="57"/>
      <c r="AX9" s="57"/>
    </row>
    <row r="10" spans="1:50" ht="15" customHeight="1">
      <c r="A10" s="55"/>
      <c r="B10" s="41"/>
      <c r="C10" s="41"/>
      <c r="D10" s="41"/>
      <c r="E10" s="41"/>
      <c r="F10" s="57"/>
      <c r="G10" s="41"/>
      <c r="H10" s="58"/>
      <c r="I10" s="59"/>
      <c r="J10" s="41" t="s">
        <v>69</v>
      </c>
      <c r="K10" s="41"/>
      <c r="L10" s="41"/>
      <c r="M10" s="81">
        <f>$E$19</f>
        <v>1</v>
      </c>
      <c r="N10" s="81" t="s">
        <v>4</v>
      </c>
      <c r="O10" s="92">
        <f t="shared" si="1"/>
        <v>39.372</v>
      </c>
      <c r="P10" s="85" t="s">
        <v>11</v>
      </c>
      <c r="Q10" s="41" t="s">
        <v>69</v>
      </c>
      <c r="R10" s="57"/>
      <c r="S10" s="57"/>
      <c r="T10" s="87">
        <f>$E$19</f>
        <v>1</v>
      </c>
      <c r="U10" s="88" t="s">
        <v>4</v>
      </c>
      <c r="V10" s="92">
        <f t="shared" si="2"/>
        <v>39.372</v>
      </c>
      <c r="W10" s="85" t="s">
        <v>11</v>
      </c>
      <c r="X10" s="50"/>
      <c r="Y10" s="57"/>
      <c r="Z10" s="57"/>
      <c r="AA10" s="57"/>
      <c r="AB10" s="57"/>
      <c r="AC10" s="57"/>
      <c r="AD10" s="57"/>
      <c r="AE10" s="57"/>
      <c r="AF10" s="57"/>
      <c r="AG10" s="57"/>
      <c r="AH10" s="41"/>
      <c r="AI10" s="41"/>
      <c r="AJ10" s="41"/>
      <c r="AK10" s="41"/>
      <c r="AL10" s="41"/>
      <c r="AM10" s="41"/>
      <c r="AN10" s="41"/>
      <c r="AO10" s="41"/>
      <c r="AP10" s="41"/>
      <c r="AQ10" s="41"/>
      <c r="AR10" s="41"/>
      <c r="AS10" s="41"/>
      <c r="AT10" s="41"/>
      <c r="AU10" s="41"/>
      <c r="AV10" s="57"/>
      <c r="AW10" s="57"/>
      <c r="AX10" s="57"/>
    </row>
    <row r="11" spans="1:50" ht="15" customHeight="1">
      <c r="A11" s="55" t="s">
        <v>70</v>
      </c>
      <c r="B11" s="41" t="s">
        <v>71</v>
      </c>
      <c r="C11" s="41"/>
      <c r="D11" s="41" t="s">
        <v>1</v>
      </c>
      <c r="E11" s="56">
        <v>24</v>
      </c>
      <c r="F11" s="91" t="s">
        <v>66</v>
      </c>
      <c r="G11" s="41"/>
      <c r="H11" s="58">
        <f>E11*0.145038</f>
        <v>3.480912</v>
      </c>
      <c r="I11" s="59" t="s">
        <v>67</v>
      </c>
      <c r="J11" s="41" t="s">
        <v>72</v>
      </c>
      <c r="K11" s="57"/>
      <c r="L11" s="57"/>
      <c r="M11" s="81">
        <f>((M8-1)*M9)+(2*M10)</f>
        <v>11</v>
      </c>
      <c r="N11" s="81" t="s">
        <v>4</v>
      </c>
      <c r="O11" s="92">
        <f t="shared" si="1"/>
        <v>433.09199999999998</v>
      </c>
      <c r="P11" s="85" t="s">
        <v>11</v>
      </c>
      <c r="Q11" s="41" t="s">
        <v>73</v>
      </c>
      <c r="R11" s="57"/>
      <c r="S11" s="57"/>
      <c r="T11" s="87">
        <f>((T8-1)*T9)+(2*T10)</f>
        <v>8</v>
      </c>
      <c r="U11" s="88" t="s">
        <v>4</v>
      </c>
      <c r="V11" s="92">
        <f t="shared" si="2"/>
        <v>314.976</v>
      </c>
      <c r="W11" s="85" t="s">
        <v>11</v>
      </c>
      <c r="X11" s="50"/>
      <c r="Y11" s="57"/>
      <c r="Z11" s="57"/>
      <c r="AA11" s="72"/>
      <c r="AB11" s="73"/>
      <c r="AC11" s="73"/>
      <c r="AD11" s="73"/>
      <c r="AE11" s="73"/>
      <c r="AF11" s="73"/>
      <c r="AG11" s="74"/>
      <c r="AH11" s="41"/>
      <c r="AI11" s="41"/>
      <c r="AJ11" s="41"/>
      <c r="AK11" s="41"/>
      <c r="AL11" s="41"/>
      <c r="AM11" s="41"/>
      <c r="AN11" s="41"/>
      <c r="AO11" s="41"/>
      <c r="AP11" s="41"/>
      <c r="AQ11" s="41"/>
      <c r="AR11" s="41"/>
      <c r="AS11" s="41"/>
      <c r="AT11" s="41"/>
      <c r="AU11" s="41"/>
      <c r="AV11" s="41"/>
      <c r="AW11" s="41"/>
      <c r="AX11" s="41"/>
    </row>
    <row r="12" spans="1:50" ht="15" customHeight="1">
      <c r="A12" s="69"/>
      <c r="B12" s="41"/>
      <c r="C12" s="41"/>
      <c r="D12" s="41"/>
      <c r="E12" s="41"/>
      <c r="F12" s="41"/>
      <c r="G12" s="57"/>
      <c r="H12" s="58"/>
      <c r="I12" s="59"/>
      <c r="J12" s="41" t="s">
        <v>74</v>
      </c>
      <c r="K12" s="41"/>
      <c r="L12" s="41"/>
      <c r="M12" s="81">
        <f>IF(OR($Q$5=4,$Q$5=6,$Q$5=8),M9/2,M9)</f>
        <v>3</v>
      </c>
      <c r="N12" s="81" t="s">
        <v>4</v>
      </c>
      <c r="O12" s="92">
        <f t="shared" si="1"/>
        <v>118.116</v>
      </c>
      <c r="P12" s="85" t="s">
        <v>11</v>
      </c>
      <c r="Q12" s="41" t="s">
        <v>75</v>
      </c>
      <c r="R12" s="41"/>
      <c r="S12" s="57"/>
      <c r="T12" s="87">
        <f>IF(OR($Q$5=4,$Q$5=8,$Q$5=12),T9/2,T9)</f>
        <v>3</v>
      </c>
      <c r="U12" s="88" t="s">
        <v>4</v>
      </c>
      <c r="V12" s="92">
        <f t="shared" si="2"/>
        <v>118.116</v>
      </c>
      <c r="W12" s="85" t="s">
        <v>11</v>
      </c>
      <c r="X12" s="50"/>
      <c r="Y12" s="57"/>
      <c r="Z12" s="57"/>
      <c r="AA12" s="80"/>
      <c r="AB12" s="81">
        <v>11</v>
      </c>
      <c r="AC12" s="82"/>
      <c r="AD12" s="81">
        <v>12</v>
      </c>
      <c r="AE12" s="82"/>
      <c r="AF12" s="81">
        <v>13</v>
      </c>
      <c r="AG12" s="83"/>
      <c r="AH12" s="41"/>
      <c r="AI12" s="41"/>
      <c r="AJ12" s="41"/>
      <c r="AK12" s="41"/>
      <c r="AL12" s="41"/>
      <c r="AM12" s="41"/>
      <c r="AN12" s="41"/>
      <c r="AO12" s="41"/>
      <c r="AP12" s="41"/>
      <c r="AQ12" s="41"/>
      <c r="AR12" s="41"/>
      <c r="AS12" s="41"/>
      <c r="AT12" s="41"/>
      <c r="AU12" s="41"/>
      <c r="AV12" s="41"/>
      <c r="AW12" s="41"/>
      <c r="AX12" s="41"/>
    </row>
    <row r="13" spans="1:50" ht="15" customHeight="1" thickBot="1">
      <c r="A13" s="69"/>
      <c r="B13" s="41"/>
      <c r="C13" s="41"/>
      <c r="D13" s="41"/>
      <c r="E13" s="57"/>
      <c r="F13" s="57"/>
      <c r="G13" s="41"/>
      <c r="H13" s="58"/>
      <c r="I13" s="59"/>
      <c r="J13" s="64" t="s">
        <v>76</v>
      </c>
      <c r="K13" s="64"/>
      <c r="L13" s="64"/>
      <c r="M13" s="97">
        <v>0</v>
      </c>
      <c r="N13" s="97" t="s">
        <v>4</v>
      </c>
      <c r="O13" s="98">
        <f t="shared" si="1"/>
        <v>0</v>
      </c>
      <c r="P13" s="99" t="s">
        <v>11</v>
      </c>
      <c r="Q13" s="64" t="s">
        <v>77</v>
      </c>
      <c r="R13" s="64"/>
      <c r="S13" s="64"/>
      <c r="T13" s="100">
        <f>IF(OR(Q5=8,Q5=12),(T9+(T9/2)),0)</f>
        <v>0</v>
      </c>
      <c r="U13" s="88" t="s">
        <v>4</v>
      </c>
      <c r="V13" s="92">
        <f t="shared" si="2"/>
        <v>0</v>
      </c>
      <c r="W13" s="85" t="s">
        <v>11</v>
      </c>
      <c r="X13" s="50"/>
      <c r="Y13" s="57"/>
      <c r="Z13" s="57"/>
      <c r="AA13" s="80"/>
      <c r="AB13" s="82"/>
      <c r="AC13" s="82"/>
      <c r="AD13" s="82"/>
      <c r="AE13" s="82"/>
      <c r="AF13" s="82"/>
      <c r="AG13" s="83"/>
      <c r="AH13" s="41"/>
      <c r="AI13" s="90" t="s">
        <v>61</v>
      </c>
      <c r="AJ13" s="41"/>
      <c r="AK13" s="41"/>
      <c r="AL13" s="41"/>
      <c r="AM13" s="41"/>
      <c r="AN13" s="41"/>
      <c r="AO13" s="41"/>
      <c r="AP13" s="41"/>
      <c r="AQ13" s="41"/>
      <c r="AR13" s="41"/>
      <c r="AS13" s="41"/>
      <c r="AT13" s="41"/>
      <c r="AU13" s="41"/>
      <c r="AV13" s="41"/>
      <c r="AW13" s="41"/>
      <c r="AX13" s="41"/>
    </row>
    <row r="14" spans="1:50" ht="15" customHeight="1">
      <c r="A14" s="55" t="s">
        <v>78</v>
      </c>
      <c r="B14" s="41"/>
      <c r="C14" s="41"/>
      <c r="D14" s="101"/>
      <c r="E14" s="102">
        <v>200000</v>
      </c>
      <c r="F14" s="91" t="s">
        <v>66</v>
      </c>
      <c r="G14" s="41"/>
      <c r="H14" s="58">
        <f t="shared" ref="H14:H15" si="3">E14*0.145038</f>
        <v>29007.599999999999</v>
      </c>
      <c r="I14" s="59" t="s">
        <v>67</v>
      </c>
      <c r="J14" s="41"/>
      <c r="K14" s="41"/>
      <c r="L14" s="41">
        <f>M12/2</f>
        <v>1.5</v>
      </c>
      <c r="M14" s="41"/>
      <c r="N14" s="41"/>
      <c r="O14" s="41"/>
      <c r="P14" s="41"/>
      <c r="Q14" s="41"/>
      <c r="R14" s="41"/>
      <c r="S14" s="41"/>
      <c r="T14" s="41"/>
      <c r="U14" s="41"/>
      <c r="V14" s="41"/>
      <c r="W14" s="41"/>
      <c r="X14" s="50"/>
      <c r="Y14" s="57"/>
      <c r="Z14" s="57"/>
      <c r="AA14" s="80"/>
      <c r="AB14" s="81">
        <v>21</v>
      </c>
      <c r="AC14" s="82"/>
      <c r="AD14" s="81">
        <v>22</v>
      </c>
      <c r="AE14" s="82"/>
      <c r="AF14" s="81">
        <v>23</v>
      </c>
      <c r="AG14" s="83"/>
      <c r="AH14" s="41"/>
      <c r="AI14" s="41"/>
      <c r="AJ14" s="41"/>
      <c r="AK14" s="41"/>
      <c r="AL14" s="41"/>
      <c r="AM14" s="41"/>
      <c r="AN14" s="41"/>
      <c r="AO14" s="41"/>
      <c r="AP14" s="41"/>
      <c r="AQ14" s="41"/>
      <c r="AR14" s="41"/>
      <c r="AS14" s="41"/>
      <c r="AT14" s="41"/>
      <c r="AU14" s="41"/>
      <c r="AV14" s="41"/>
      <c r="AW14" s="41"/>
      <c r="AX14" s="41"/>
    </row>
    <row r="15" spans="1:50" ht="15" customHeight="1">
      <c r="A15" s="55" t="s">
        <v>79</v>
      </c>
      <c r="B15" s="41"/>
      <c r="C15" s="41"/>
      <c r="D15" s="41"/>
      <c r="E15" s="102">
        <f>4700*SQRT(E11)</f>
        <v>23025.203582161874</v>
      </c>
      <c r="F15" s="91" t="s">
        <v>66</v>
      </c>
      <c r="G15" s="41"/>
      <c r="H15" s="58">
        <f t="shared" si="3"/>
        <v>3339.5294771495937</v>
      </c>
      <c r="I15" s="59" t="s">
        <v>67</v>
      </c>
      <c r="J15" s="41"/>
      <c r="K15" s="57"/>
      <c r="L15" s="41"/>
      <c r="M15" s="41"/>
      <c r="N15" s="41"/>
      <c r="O15" s="41"/>
      <c r="P15" s="41"/>
      <c r="Q15" s="57"/>
      <c r="R15" s="41"/>
      <c r="S15" s="57"/>
      <c r="T15" s="41"/>
      <c r="U15" s="41"/>
      <c r="V15" s="41"/>
      <c r="W15" s="41"/>
      <c r="X15" s="50"/>
      <c r="Y15" s="57"/>
      <c r="Z15" s="57"/>
      <c r="AA15" s="94"/>
      <c r="AB15" s="95"/>
      <c r="AC15" s="95"/>
      <c r="AD15" s="95"/>
      <c r="AE15" s="95"/>
      <c r="AF15" s="95"/>
      <c r="AG15" s="96"/>
      <c r="AH15" s="41"/>
      <c r="AI15" s="41"/>
      <c r="AJ15" s="41"/>
      <c r="AK15" s="41"/>
      <c r="AL15" s="41"/>
      <c r="AM15" s="41"/>
      <c r="AN15" s="41"/>
      <c r="AO15" s="41"/>
      <c r="AP15" s="41"/>
      <c r="AQ15" s="41"/>
      <c r="AR15" s="41"/>
      <c r="AS15" s="41"/>
      <c r="AT15" s="41"/>
      <c r="AU15" s="41"/>
      <c r="AV15" s="41"/>
      <c r="AW15" s="41"/>
      <c r="AX15" s="41"/>
    </row>
    <row r="16" spans="1:50" ht="15" customHeight="1">
      <c r="A16" s="55"/>
      <c r="B16" s="103" t="s">
        <v>80</v>
      </c>
      <c r="C16" s="103"/>
      <c r="D16" s="103" t="s">
        <v>1</v>
      </c>
      <c r="E16" s="103">
        <f>ROUND(E14/E15,0)</f>
        <v>9</v>
      </c>
      <c r="F16" s="41"/>
      <c r="G16" s="57"/>
      <c r="H16" s="104"/>
      <c r="I16" s="59"/>
      <c r="J16" s="41"/>
      <c r="K16" s="41"/>
      <c r="L16" s="41"/>
      <c r="M16" s="41"/>
      <c r="N16" s="41"/>
      <c r="O16" s="41"/>
      <c r="P16" s="41"/>
      <c r="Q16" s="41"/>
      <c r="R16" s="41"/>
      <c r="S16" s="41"/>
      <c r="T16" s="41"/>
      <c r="U16" s="41"/>
      <c r="V16" s="41"/>
      <c r="W16" s="41"/>
      <c r="X16" s="50"/>
      <c r="Y16" s="57"/>
      <c r="Z16" s="57"/>
      <c r="AA16" s="57"/>
      <c r="AB16" s="57"/>
      <c r="AC16" s="57"/>
      <c r="AD16" s="57"/>
      <c r="AE16" s="57"/>
      <c r="AF16" s="57"/>
      <c r="AG16" s="57"/>
      <c r="AH16" s="41"/>
      <c r="AI16" s="41"/>
      <c r="AJ16" s="41"/>
      <c r="AK16" s="41"/>
      <c r="AL16" s="41"/>
      <c r="AM16" s="41"/>
      <c r="AN16" s="41"/>
      <c r="AO16" s="41"/>
      <c r="AP16" s="41"/>
      <c r="AQ16" s="41"/>
      <c r="AR16" s="41"/>
      <c r="AS16" s="41"/>
      <c r="AT16" s="41"/>
      <c r="AU16" s="41"/>
      <c r="AV16" s="41"/>
      <c r="AW16" s="41"/>
      <c r="AX16" s="41"/>
    </row>
    <row r="17" spans="1:50" ht="15" customHeight="1" thickBot="1">
      <c r="A17" s="63"/>
      <c r="B17" s="64"/>
      <c r="C17" s="64"/>
      <c r="D17" s="64"/>
      <c r="E17" s="64"/>
      <c r="F17" s="64"/>
      <c r="G17" s="64"/>
      <c r="H17" s="105"/>
      <c r="I17" s="68"/>
      <c r="J17" s="41"/>
      <c r="K17" s="41"/>
      <c r="L17" s="41"/>
      <c r="M17" s="41"/>
      <c r="N17" s="41"/>
      <c r="O17" s="41"/>
      <c r="P17" s="41"/>
      <c r="Q17" s="41"/>
      <c r="R17" s="41"/>
      <c r="S17" s="41"/>
      <c r="T17" s="41"/>
      <c r="U17" s="41"/>
      <c r="V17" s="41"/>
      <c r="W17" s="41"/>
      <c r="X17" s="50"/>
      <c r="Y17" s="57"/>
      <c r="Z17" s="72"/>
      <c r="AA17" s="73"/>
      <c r="AB17" s="73"/>
      <c r="AC17" s="73"/>
      <c r="AD17" s="73"/>
      <c r="AE17" s="73"/>
      <c r="AF17" s="73"/>
      <c r="AG17" s="73"/>
      <c r="AH17" s="106"/>
      <c r="AI17" s="41"/>
      <c r="AJ17" s="41"/>
      <c r="AK17" s="41"/>
      <c r="AL17" s="41"/>
      <c r="AM17" s="41"/>
      <c r="AN17" s="41"/>
      <c r="AO17" s="41"/>
      <c r="AP17" s="41"/>
      <c r="AQ17" s="41"/>
      <c r="AR17" s="41"/>
      <c r="AS17" s="41"/>
      <c r="AT17" s="41"/>
      <c r="AU17" s="41"/>
      <c r="AV17" s="41"/>
      <c r="AW17" s="41"/>
      <c r="AX17" s="41"/>
    </row>
    <row r="18" spans="1:50" ht="15" customHeight="1">
      <c r="A18" s="47" t="s">
        <v>81</v>
      </c>
      <c r="B18" s="48"/>
      <c r="C18" s="48"/>
      <c r="D18" s="48"/>
      <c r="E18" s="48"/>
      <c r="F18" s="48"/>
      <c r="G18" s="75"/>
      <c r="H18" s="107"/>
      <c r="I18" s="77"/>
      <c r="J18" s="41"/>
      <c r="K18" s="41"/>
      <c r="L18" s="41"/>
      <c r="M18" s="41"/>
      <c r="N18" s="41"/>
      <c r="O18" s="41"/>
      <c r="P18" s="41"/>
      <c r="Q18" s="41"/>
      <c r="R18" s="41"/>
      <c r="S18" s="41"/>
      <c r="T18" s="41"/>
      <c r="U18" s="41"/>
      <c r="V18" s="41"/>
      <c r="W18" s="41"/>
      <c r="X18" s="50"/>
      <c r="Y18" s="57"/>
      <c r="Z18" s="80"/>
      <c r="AA18" s="81">
        <v>11</v>
      </c>
      <c r="AB18" s="82"/>
      <c r="AC18" s="81">
        <v>12</v>
      </c>
      <c r="AD18" s="82"/>
      <c r="AE18" s="81">
        <v>13</v>
      </c>
      <c r="AF18" s="82"/>
      <c r="AG18" s="81">
        <v>14</v>
      </c>
      <c r="AH18" s="108"/>
      <c r="AI18" s="41"/>
      <c r="AJ18" s="41"/>
      <c r="AK18" s="41"/>
      <c r="AL18" s="41"/>
      <c r="AM18" s="41"/>
      <c r="AN18" s="41"/>
      <c r="AO18" s="41"/>
      <c r="AP18" s="41"/>
      <c r="AQ18" s="41"/>
      <c r="AR18" s="41"/>
      <c r="AS18" s="41"/>
      <c r="AT18" s="41"/>
      <c r="AU18" s="41"/>
      <c r="AV18" s="41"/>
      <c r="AW18" s="41"/>
      <c r="AX18" s="41"/>
    </row>
    <row r="19" spans="1:50" ht="15" customHeight="1">
      <c r="A19" s="189" t="s">
        <v>82</v>
      </c>
      <c r="B19" s="178"/>
      <c r="C19" s="178"/>
      <c r="D19" s="41" t="s">
        <v>1</v>
      </c>
      <c r="E19" s="56">
        <v>1</v>
      </c>
      <c r="F19" s="57" t="s">
        <v>4</v>
      </c>
      <c r="G19" s="57"/>
      <c r="H19" s="58">
        <f>E19*3.281*12</f>
        <v>39.372</v>
      </c>
      <c r="I19" s="59" t="s">
        <v>27</v>
      </c>
      <c r="J19" s="41"/>
      <c r="K19" s="41"/>
      <c r="L19" s="41"/>
      <c r="M19" s="41"/>
      <c r="N19" s="41"/>
      <c r="O19" s="41"/>
      <c r="P19" s="41"/>
      <c r="Q19" s="41"/>
      <c r="R19" s="41"/>
      <c r="S19" s="41"/>
      <c r="T19" s="41"/>
      <c r="U19" s="41"/>
      <c r="V19" s="41"/>
      <c r="W19" s="41"/>
      <c r="X19" s="50"/>
      <c r="Y19" s="57"/>
      <c r="Z19" s="80"/>
      <c r="AA19" s="82"/>
      <c r="AB19" s="82"/>
      <c r="AC19" s="82"/>
      <c r="AD19" s="82"/>
      <c r="AE19" s="82"/>
      <c r="AF19" s="82"/>
      <c r="AG19" s="82"/>
      <c r="AH19" s="108"/>
      <c r="AI19" s="41"/>
      <c r="AJ19" s="90" t="s">
        <v>61</v>
      </c>
      <c r="AK19" s="41"/>
      <c r="AL19" s="41"/>
      <c r="AM19" s="41"/>
      <c r="AN19" s="41"/>
      <c r="AO19" s="41"/>
      <c r="AP19" s="41"/>
      <c r="AQ19" s="41"/>
      <c r="AR19" s="41"/>
      <c r="AS19" s="41"/>
      <c r="AT19" s="41"/>
      <c r="AU19" s="41"/>
      <c r="AV19" s="41"/>
      <c r="AW19" s="41"/>
      <c r="AX19" s="41"/>
    </row>
    <row r="20" spans="1:50" ht="15" customHeight="1">
      <c r="A20" s="189" t="s">
        <v>83</v>
      </c>
      <c r="B20" s="178"/>
      <c r="C20" s="178"/>
      <c r="D20" s="41" t="s">
        <v>1</v>
      </c>
      <c r="E20" s="102">
        <v>800</v>
      </c>
      <c r="F20" s="91" t="s">
        <v>84</v>
      </c>
      <c r="G20" s="57"/>
      <c r="H20" s="58">
        <f>E20*0.22480894387096</f>
        <v>179.84715509676801</v>
      </c>
      <c r="I20" s="59" t="s">
        <v>6</v>
      </c>
      <c r="J20" s="41"/>
      <c r="K20" s="41"/>
      <c r="L20" s="41"/>
      <c r="M20" s="41"/>
      <c r="N20" s="41"/>
      <c r="O20" s="41"/>
      <c r="P20" s="41"/>
      <c r="Q20" s="41"/>
      <c r="R20" s="41"/>
      <c r="S20" s="41"/>
      <c r="T20" s="41"/>
      <c r="U20" s="41"/>
      <c r="V20" s="41"/>
      <c r="W20" s="41"/>
      <c r="X20" s="109"/>
      <c r="Y20" s="57"/>
      <c r="Z20" s="80"/>
      <c r="AA20" s="81">
        <v>21</v>
      </c>
      <c r="AB20" s="82"/>
      <c r="AC20" s="81">
        <v>22</v>
      </c>
      <c r="AD20" s="82"/>
      <c r="AE20" s="81">
        <v>23</v>
      </c>
      <c r="AF20" s="82"/>
      <c r="AG20" s="81">
        <v>24</v>
      </c>
      <c r="AH20" s="108"/>
      <c r="AI20" s="41"/>
      <c r="AJ20" s="41"/>
      <c r="AK20" s="41"/>
      <c r="AL20" s="41"/>
      <c r="AM20" s="41"/>
      <c r="AN20" s="41"/>
      <c r="AO20" s="41"/>
      <c r="AP20" s="41"/>
      <c r="AQ20" s="41"/>
      <c r="AR20" s="41"/>
      <c r="AS20" s="41"/>
      <c r="AT20" s="41"/>
      <c r="AU20" s="41"/>
      <c r="AV20" s="41"/>
      <c r="AW20" s="41"/>
      <c r="AX20" s="41"/>
    </row>
    <row r="21" spans="1:50" ht="15" customHeight="1" thickBot="1">
      <c r="A21" s="190" t="s">
        <v>85</v>
      </c>
      <c r="B21" s="191"/>
      <c r="C21" s="191"/>
      <c r="D21" s="64"/>
      <c r="E21" s="65">
        <v>14</v>
      </c>
      <c r="F21" s="66" t="s">
        <v>4</v>
      </c>
      <c r="G21" s="66"/>
      <c r="H21" s="67">
        <f>E21*3.281*12</f>
        <v>551.20800000000008</v>
      </c>
      <c r="I21" s="68" t="s">
        <v>27</v>
      </c>
      <c r="J21" s="41"/>
      <c r="K21" s="41"/>
      <c r="L21" s="41"/>
      <c r="M21" s="41"/>
      <c r="N21" s="41"/>
      <c r="O21" s="41"/>
      <c r="P21" s="41"/>
      <c r="Q21" s="41"/>
      <c r="R21" s="41"/>
      <c r="S21" s="41"/>
      <c r="T21" s="41"/>
      <c r="U21" s="41"/>
      <c r="V21" s="41"/>
      <c r="W21" s="41"/>
      <c r="X21" s="50"/>
      <c r="Y21" s="57"/>
      <c r="Z21" s="94"/>
      <c r="AA21" s="95"/>
      <c r="AB21" s="95"/>
      <c r="AC21" s="95"/>
      <c r="AD21" s="95"/>
      <c r="AE21" s="95"/>
      <c r="AF21" s="95"/>
      <c r="AG21" s="95"/>
      <c r="AH21" s="110"/>
      <c r="AI21" s="41"/>
      <c r="AJ21" s="41"/>
      <c r="AK21" s="41"/>
      <c r="AL21" s="41"/>
      <c r="AM21" s="41"/>
      <c r="AN21" s="41"/>
      <c r="AO21" s="41"/>
      <c r="AP21" s="41"/>
      <c r="AQ21" s="41"/>
      <c r="AR21" s="41"/>
      <c r="AS21" s="41"/>
      <c r="AT21" s="41"/>
      <c r="AU21" s="41"/>
      <c r="AV21" s="41"/>
      <c r="AW21" s="41"/>
      <c r="AX21" s="41"/>
    </row>
    <row r="22" spans="1:50" ht="15" customHeight="1">
      <c r="A22" s="47" t="s">
        <v>86</v>
      </c>
      <c r="B22" s="48"/>
      <c r="C22" s="48"/>
      <c r="D22" s="48"/>
      <c r="E22" s="48"/>
      <c r="F22" s="48"/>
      <c r="G22" s="48"/>
      <c r="H22" s="107"/>
      <c r="I22" s="77"/>
      <c r="J22" s="41"/>
      <c r="K22" s="41"/>
      <c r="L22" s="41"/>
      <c r="M22" s="41"/>
      <c r="N22" s="41"/>
      <c r="O22" s="41"/>
      <c r="P22" s="41"/>
      <c r="Q22" s="41"/>
      <c r="R22" s="41"/>
      <c r="S22" s="41"/>
      <c r="T22" s="41"/>
      <c r="U22" s="41"/>
      <c r="V22" s="41"/>
      <c r="W22" s="41"/>
      <c r="X22" s="86"/>
      <c r="Y22" s="57"/>
      <c r="Z22" s="57"/>
      <c r="AA22" s="57"/>
      <c r="AB22" s="57"/>
      <c r="AC22" s="57"/>
      <c r="AD22" s="57"/>
      <c r="AE22" s="57"/>
      <c r="AF22" s="57"/>
      <c r="AG22" s="57"/>
      <c r="AH22" s="41"/>
      <c r="AI22" s="41"/>
      <c r="AJ22" s="41"/>
      <c r="AK22" s="41"/>
      <c r="AL22" s="41"/>
      <c r="AM22" s="41"/>
      <c r="AN22" s="41"/>
      <c r="AO22" s="41"/>
      <c r="AP22" s="41"/>
      <c r="AQ22" s="41"/>
      <c r="AR22" s="41"/>
      <c r="AS22" s="41"/>
      <c r="AT22" s="41"/>
      <c r="AU22" s="41"/>
      <c r="AV22" s="41"/>
      <c r="AW22" s="41"/>
      <c r="AX22" s="41"/>
    </row>
    <row r="23" spans="1:50" ht="15" customHeight="1">
      <c r="A23" s="55"/>
      <c r="B23" s="41" t="s">
        <v>87</v>
      </c>
      <c r="C23" s="41"/>
      <c r="D23" s="41" t="s">
        <v>1</v>
      </c>
      <c r="E23" s="102">
        <v>0</v>
      </c>
      <c r="F23" s="91" t="s">
        <v>84</v>
      </c>
      <c r="G23" s="57"/>
      <c r="H23" s="58">
        <f t="shared" ref="H23:H25" si="4">E23*0.22480894387096</f>
        <v>0</v>
      </c>
      <c r="I23" s="59" t="s">
        <v>6</v>
      </c>
      <c r="J23" s="41"/>
      <c r="K23" s="41"/>
      <c r="L23" s="41"/>
      <c r="M23" s="41"/>
      <c r="N23" s="41"/>
      <c r="O23" s="41"/>
      <c r="P23" s="41"/>
      <c r="Q23" s="41"/>
      <c r="R23" s="41"/>
      <c r="S23" s="41"/>
      <c r="T23" s="41"/>
      <c r="U23" s="41"/>
      <c r="V23" s="41"/>
      <c r="W23" s="41"/>
      <c r="X23" s="41"/>
      <c r="Y23" s="57"/>
      <c r="Z23" s="57"/>
      <c r="AA23" s="72"/>
      <c r="AB23" s="73"/>
      <c r="AC23" s="73"/>
      <c r="AD23" s="73"/>
      <c r="AE23" s="73"/>
      <c r="AF23" s="73"/>
      <c r="AG23" s="74"/>
      <c r="AH23" s="41"/>
      <c r="AI23" s="41"/>
      <c r="AJ23" s="41"/>
      <c r="AK23" s="41"/>
      <c r="AL23" s="41"/>
      <c r="AM23" s="41"/>
      <c r="AN23" s="41"/>
      <c r="AO23" s="41"/>
      <c r="AP23" s="41"/>
      <c r="AQ23" s="41"/>
      <c r="AR23" s="41"/>
      <c r="AS23" s="41"/>
      <c r="AT23" s="41"/>
      <c r="AU23" s="41"/>
      <c r="AV23" s="41"/>
      <c r="AW23" s="41"/>
      <c r="AX23" s="41"/>
    </row>
    <row r="24" spans="1:50" ht="15" customHeight="1">
      <c r="A24" s="55"/>
      <c r="B24" s="41" t="s">
        <v>88</v>
      </c>
      <c r="C24" s="41"/>
      <c r="D24" s="41"/>
      <c r="E24" s="102">
        <v>0</v>
      </c>
      <c r="F24" s="91" t="s">
        <v>84</v>
      </c>
      <c r="G24" s="41"/>
      <c r="H24" s="58">
        <f t="shared" si="4"/>
        <v>0</v>
      </c>
      <c r="I24" s="59" t="s">
        <v>6</v>
      </c>
      <c r="J24" s="41"/>
      <c r="K24" s="41"/>
      <c r="L24" s="41"/>
      <c r="M24" s="41"/>
      <c r="N24" s="41"/>
      <c r="O24" s="41"/>
      <c r="P24" s="41"/>
      <c r="Q24" s="41"/>
      <c r="R24" s="41"/>
      <c r="S24" s="41"/>
      <c r="T24" s="41"/>
      <c r="U24" s="41"/>
      <c r="V24" s="41"/>
      <c r="W24" s="41"/>
      <c r="X24" s="41"/>
      <c r="Y24" s="57"/>
      <c r="Z24" s="57"/>
      <c r="AA24" s="80"/>
      <c r="AB24" s="81">
        <v>11</v>
      </c>
      <c r="AC24" s="82"/>
      <c r="AD24" s="81">
        <v>12</v>
      </c>
      <c r="AE24" s="82"/>
      <c r="AF24" s="81">
        <v>13</v>
      </c>
      <c r="AG24" s="83"/>
      <c r="AH24" s="41"/>
      <c r="AI24" s="41"/>
      <c r="AJ24" s="41"/>
      <c r="AK24" s="41"/>
      <c r="AL24" s="41"/>
      <c r="AM24" s="41"/>
      <c r="AN24" s="41"/>
      <c r="AO24" s="41"/>
      <c r="AP24" s="41"/>
      <c r="AQ24" s="41"/>
      <c r="AR24" s="41"/>
      <c r="AS24" s="41"/>
      <c r="AT24" s="41"/>
      <c r="AU24" s="41"/>
      <c r="AV24" s="41"/>
      <c r="AW24" s="41"/>
      <c r="AX24" s="41"/>
    </row>
    <row r="25" spans="1:50" ht="15" customHeight="1">
      <c r="A25" s="55"/>
      <c r="B25" s="41" t="s">
        <v>89</v>
      </c>
      <c r="C25" s="41"/>
      <c r="D25" s="41"/>
      <c r="E25" s="111">
        <v>7130</v>
      </c>
      <c r="F25" s="91" t="s">
        <v>84</v>
      </c>
      <c r="G25" s="41"/>
      <c r="H25" s="58">
        <f t="shared" si="4"/>
        <v>1602.8877697999449</v>
      </c>
      <c r="I25" s="59" t="s">
        <v>6</v>
      </c>
      <c r="J25" s="41"/>
      <c r="K25" s="41"/>
      <c r="L25" s="41"/>
      <c r="M25" s="41"/>
      <c r="N25" s="41"/>
      <c r="O25" s="41"/>
      <c r="P25" s="41"/>
      <c r="Q25" s="41"/>
      <c r="R25" s="41"/>
      <c r="S25" s="41"/>
      <c r="T25" s="41"/>
      <c r="U25" s="41"/>
      <c r="V25" s="41"/>
      <c r="W25" s="41"/>
      <c r="X25" s="41"/>
      <c r="Y25" s="57"/>
      <c r="Z25" s="57"/>
      <c r="AA25" s="80"/>
      <c r="AB25" s="82"/>
      <c r="AC25" s="82"/>
      <c r="AD25" s="82"/>
      <c r="AE25" s="82"/>
      <c r="AF25" s="82"/>
      <c r="AG25" s="83"/>
      <c r="AH25" s="41"/>
      <c r="AI25" s="41"/>
      <c r="AJ25" s="41"/>
      <c r="AK25" s="41"/>
      <c r="AL25" s="41"/>
      <c r="AM25" s="41"/>
      <c r="AN25" s="41"/>
      <c r="AO25" s="41"/>
      <c r="AP25" s="41"/>
      <c r="AQ25" s="41"/>
      <c r="AR25" s="41"/>
      <c r="AS25" s="41"/>
      <c r="AT25" s="41"/>
      <c r="AU25" s="41"/>
      <c r="AV25" s="41"/>
      <c r="AW25" s="41"/>
      <c r="AX25" s="41"/>
    </row>
    <row r="26" spans="1:50" ht="15" customHeight="1">
      <c r="A26" s="55"/>
      <c r="B26" s="41" t="s">
        <v>90</v>
      </c>
      <c r="C26" s="41"/>
      <c r="D26" s="41" t="s">
        <v>1</v>
      </c>
      <c r="E26" s="102">
        <v>85</v>
      </c>
      <c r="F26" s="91" t="s">
        <v>91</v>
      </c>
      <c r="G26" s="57"/>
      <c r="H26" s="58">
        <f t="shared" ref="H26:H28" si="5">E26*0.737562336</f>
        <v>62.69279856</v>
      </c>
      <c r="I26" s="59" t="s">
        <v>92</v>
      </c>
      <c r="J26" s="41"/>
      <c r="K26" s="41"/>
      <c r="L26" s="41"/>
      <c r="M26" s="41"/>
      <c r="N26" s="41"/>
      <c r="O26" s="41"/>
      <c r="P26" s="41"/>
      <c r="Q26" s="41"/>
      <c r="R26" s="41"/>
      <c r="S26" s="41"/>
      <c r="T26" s="41"/>
      <c r="U26" s="41"/>
      <c r="V26" s="41"/>
      <c r="W26" s="41"/>
      <c r="X26" s="41"/>
      <c r="Y26" s="57"/>
      <c r="Z26" s="57"/>
      <c r="AA26" s="80"/>
      <c r="AB26" s="81">
        <v>21</v>
      </c>
      <c r="AC26" s="82"/>
      <c r="AD26" s="81">
        <v>22</v>
      </c>
      <c r="AE26" s="82"/>
      <c r="AF26" s="81">
        <v>23</v>
      </c>
      <c r="AG26" s="83"/>
      <c r="AH26" s="41"/>
      <c r="AI26" s="90" t="s">
        <v>61</v>
      </c>
      <c r="AJ26" s="41"/>
      <c r="AK26" s="41"/>
      <c r="AL26" s="41"/>
      <c r="AM26" s="41"/>
      <c r="AN26" s="41"/>
      <c r="AO26" s="41"/>
      <c r="AP26" s="41"/>
      <c r="AQ26" s="41"/>
      <c r="AR26" s="41"/>
      <c r="AS26" s="41"/>
      <c r="AT26" s="41"/>
      <c r="AU26" s="41"/>
      <c r="AV26" s="41"/>
      <c r="AW26" s="41"/>
      <c r="AX26" s="41"/>
    </row>
    <row r="27" spans="1:50" ht="15" customHeight="1">
      <c r="A27" s="55"/>
      <c r="B27" s="41" t="s">
        <v>93</v>
      </c>
      <c r="C27" s="41"/>
      <c r="D27" s="41" t="s">
        <v>1</v>
      </c>
      <c r="E27" s="102">
        <v>330</v>
      </c>
      <c r="F27" s="91" t="s">
        <v>91</v>
      </c>
      <c r="G27" s="41"/>
      <c r="H27" s="58">
        <f t="shared" si="5"/>
        <v>243.39557088000001</v>
      </c>
      <c r="I27" s="59" t="s">
        <v>92</v>
      </c>
      <c r="J27" s="57"/>
      <c r="K27" s="112"/>
      <c r="L27" s="112"/>
      <c r="M27" s="112"/>
      <c r="N27" s="112"/>
      <c r="O27" s="112"/>
      <c r="P27" s="112"/>
      <c r="Q27" s="112"/>
      <c r="R27" s="112"/>
      <c r="S27" s="57"/>
      <c r="T27" s="112"/>
      <c r="U27" s="112"/>
      <c r="V27" s="112"/>
      <c r="W27" s="112"/>
      <c r="X27" s="41"/>
      <c r="Y27" s="57"/>
      <c r="Z27" s="57"/>
      <c r="AA27" s="80"/>
      <c r="AB27" s="82"/>
      <c r="AC27" s="82"/>
      <c r="AD27" s="82"/>
      <c r="AE27" s="82"/>
      <c r="AF27" s="82"/>
      <c r="AG27" s="83"/>
      <c r="AH27" s="41"/>
      <c r="AI27" s="41"/>
      <c r="AJ27" s="41"/>
      <c r="AK27" s="41"/>
      <c r="AL27" s="41"/>
      <c r="AM27" s="41"/>
      <c r="AN27" s="41"/>
      <c r="AO27" s="41"/>
      <c r="AP27" s="41"/>
      <c r="AQ27" s="41"/>
      <c r="AR27" s="41"/>
      <c r="AS27" s="41"/>
      <c r="AT27" s="41"/>
      <c r="AU27" s="41"/>
      <c r="AV27" s="41"/>
      <c r="AW27" s="41"/>
      <c r="AX27" s="41"/>
    </row>
    <row r="28" spans="1:50" ht="15" customHeight="1">
      <c r="A28" s="55"/>
      <c r="B28" s="41" t="s">
        <v>94</v>
      </c>
      <c r="C28" s="41"/>
      <c r="D28" s="41" t="s">
        <v>1</v>
      </c>
      <c r="E28" s="102">
        <v>0</v>
      </c>
      <c r="F28" s="91" t="s">
        <v>91</v>
      </c>
      <c r="G28" s="41"/>
      <c r="H28" s="58">
        <f t="shared" si="5"/>
        <v>0</v>
      </c>
      <c r="I28" s="59" t="s">
        <v>92</v>
      </c>
      <c r="J28" s="57"/>
      <c r="K28" s="112"/>
      <c r="L28" s="112"/>
      <c r="M28" s="112"/>
      <c r="N28" s="112"/>
      <c r="O28" s="112"/>
      <c r="P28" s="112"/>
      <c r="Q28" s="112"/>
      <c r="R28" s="112"/>
      <c r="S28" s="57"/>
      <c r="T28" s="112"/>
      <c r="U28" s="112"/>
      <c r="V28" s="112"/>
      <c r="W28" s="112"/>
      <c r="X28" s="41"/>
      <c r="Y28" s="57"/>
      <c r="Z28" s="57"/>
      <c r="AA28" s="80"/>
      <c r="AB28" s="81">
        <v>31</v>
      </c>
      <c r="AC28" s="82"/>
      <c r="AD28" s="81">
        <v>32</v>
      </c>
      <c r="AE28" s="82"/>
      <c r="AF28" s="81">
        <v>33</v>
      </c>
      <c r="AG28" s="83"/>
      <c r="AH28" s="41"/>
      <c r="AI28" s="41"/>
      <c r="AJ28" s="41"/>
      <c r="AK28" s="41"/>
      <c r="AL28" s="41"/>
      <c r="AM28" s="41"/>
      <c r="AN28" s="41"/>
      <c r="AO28" s="41"/>
      <c r="AP28" s="41"/>
      <c r="AQ28" s="41"/>
      <c r="AR28" s="41"/>
      <c r="AS28" s="41"/>
      <c r="AT28" s="41"/>
      <c r="AU28" s="41"/>
      <c r="AV28" s="41"/>
      <c r="AW28" s="41"/>
      <c r="AX28" s="41"/>
    </row>
    <row r="29" spans="1:50" ht="15" customHeight="1" thickBot="1">
      <c r="A29" s="63"/>
      <c r="B29" s="64"/>
      <c r="C29" s="64"/>
      <c r="D29" s="64"/>
      <c r="E29" s="64"/>
      <c r="F29" s="64"/>
      <c r="G29" s="64"/>
      <c r="H29" s="113"/>
      <c r="I29" s="114"/>
      <c r="J29" s="57"/>
      <c r="K29" s="112"/>
      <c r="L29" s="112"/>
      <c r="M29" s="112"/>
      <c r="N29" s="112"/>
      <c r="O29" s="112"/>
      <c r="P29" s="112"/>
      <c r="Q29" s="112"/>
      <c r="R29" s="112"/>
      <c r="S29" s="57"/>
      <c r="T29" s="112"/>
      <c r="U29" s="112"/>
      <c r="V29" s="112"/>
      <c r="W29" s="112"/>
      <c r="X29" s="41"/>
      <c r="Y29" s="57"/>
      <c r="Z29" s="57"/>
      <c r="AA29" s="94"/>
      <c r="AB29" s="95"/>
      <c r="AC29" s="95"/>
      <c r="AD29" s="95"/>
      <c r="AE29" s="95"/>
      <c r="AF29" s="95"/>
      <c r="AG29" s="96"/>
      <c r="AH29" s="41"/>
      <c r="AI29" s="41"/>
      <c r="AJ29" s="41"/>
      <c r="AK29" s="41"/>
      <c r="AL29" s="41"/>
      <c r="AM29" s="41"/>
      <c r="AN29" s="41"/>
      <c r="AO29" s="41"/>
      <c r="AP29" s="41"/>
      <c r="AQ29" s="41"/>
      <c r="AR29" s="41"/>
      <c r="AS29" s="41"/>
      <c r="AT29" s="41"/>
      <c r="AU29" s="41"/>
      <c r="AV29" s="41"/>
      <c r="AW29" s="41"/>
      <c r="AX29" s="41"/>
    </row>
    <row r="30" spans="1:50" ht="15" customHeight="1">
      <c r="A30" s="47" t="s">
        <v>95</v>
      </c>
      <c r="B30" s="48"/>
      <c r="C30" s="48"/>
      <c r="D30" s="48"/>
      <c r="E30" s="48"/>
      <c r="F30" s="48"/>
      <c r="G30" s="48"/>
      <c r="H30" s="107"/>
      <c r="I30" s="77"/>
      <c r="J30" s="57"/>
      <c r="K30" s="112"/>
      <c r="L30" s="112"/>
      <c r="M30" s="112"/>
      <c r="N30" s="112"/>
      <c r="O30" s="112"/>
      <c r="P30" s="112"/>
      <c r="Q30" s="112"/>
      <c r="R30" s="112"/>
      <c r="S30" s="57"/>
      <c r="T30" s="112"/>
      <c r="U30" s="112"/>
      <c r="V30" s="112"/>
      <c r="W30" s="112"/>
      <c r="X30" s="41"/>
      <c r="Y30" s="57"/>
      <c r="Z30" s="57"/>
      <c r="AA30" s="57"/>
      <c r="AB30" s="57"/>
      <c r="AC30" s="57"/>
      <c r="AD30" s="57"/>
      <c r="AE30" s="57"/>
      <c r="AF30" s="57"/>
      <c r="AG30" s="57"/>
      <c r="AH30" s="41"/>
      <c r="AI30" s="41"/>
      <c r="AJ30" s="41"/>
      <c r="AK30" s="41"/>
      <c r="AL30" s="41"/>
      <c r="AM30" s="41"/>
      <c r="AN30" s="41"/>
      <c r="AO30" s="41"/>
      <c r="AP30" s="41"/>
      <c r="AQ30" s="41"/>
      <c r="AR30" s="41"/>
      <c r="AS30" s="41"/>
      <c r="AT30" s="41"/>
      <c r="AU30" s="41"/>
      <c r="AV30" s="41"/>
      <c r="AW30" s="41"/>
      <c r="AX30" s="41"/>
    </row>
    <row r="31" spans="1:50" ht="15" customHeight="1">
      <c r="A31" s="115" t="s">
        <v>96</v>
      </c>
      <c r="B31" s="41"/>
      <c r="C31" s="41"/>
      <c r="D31" s="41" t="s">
        <v>1</v>
      </c>
      <c r="E31" s="116">
        <f>PI()*((E19)^2)/4</f>
        <v>0.78539816339744828</v>
      </c>
      <c r="F31" s="57" t="s">
        <v>97</v>
      </c>
      <c r="G31" s="57"/>
      <c r="H31" s="58">
        <f>E31*0.22480894387096</f>
        <v>0.17656453163157204</v>
      </c>
      <c r="I31" s="59" t="s">
        <v>98</v>
      </c>
      <c r="J31" s="57"/>
      <c r="K31" s="112"/>
      <c r="L31" s="112"/>
      <c r="M31" s="112"/>
      <c r="N31" s="112"/>
      <c r="O31" s="112"/>
      <c r="P31" s="112"/>
      <c r="Q31" s="112"/>
      <c r="R31" s="112"/>
      <c r="S31" s="57"/>
      <c r="T31" s="112"/>
      <c r="U31" s="112"/>
      <c r="V31" s="112"/>
      <c r="W31" s="112"/>
      <c r="X31" s="41"/>
      <c r="Y31" s="57"/>
      <c r="Z31" s="72"/>
      <c r="AA31" s="73"/>
      <c r="AB31" s="73"/>
      <c r="AC31" s="73"/>
      <c r="AD31" s="73"/>
      <c r="AE31" s="73"/>
      <c r="AF31" s="73"/>
      <c r="AG31" s="73"/>
      <c r="AH31" s="106"/>
      <c r="AI31" s="41"/>
      <c r="AJ31" s="41"/>
      <c r="AK31" s="41"/>
      <c r="AL31" s="41"/>
      <c r="AM31" s="41"/>
      <c r="AN31" s="41"/>
      <c r="AO31" s="41"/>
      <c r="AP31" s="41"/>
      <c r="AQ31" s="41"/>
      <c r="AR31" s="41"/>
      <c r="AS31" s="41"/>
      <c r="AT31" s="41"/>
      <c r="AU31" s="41"/>
      <c r="AV31" s="41"/>
      <c r="AW31" s="41"/>
      <c r="AX31" s="41"/>
    </row>
    <row r="32" spans="1:50" ht="15" customHeight="1">
      <c r="A32" s="192" t="s">
        <v>99</v>
      </c>
      <c r="B32" s="178"/>
      <c r="C32" s="178"/>
      <c r="D32" s="117"/>
      <c r="E32" s="194">
        <f>(E15*1000*E31)/E21</f>
        <v>1291710.9003773059</v>
      </c>
      <c r="F32" s="195" t="s">
        <v>100</v>
      </c>
      <c r="G32" s="41"/>
      <c r="H32" s="196">
        <f>E32*0.0057101486</f>
        <v>7375.8611893942134</v>
      </c>
      <c r="I32" s="198" t="s">
        <v>101</v>
      </c>
      <c r="J32" s="57"/>
      <c r="K32" s="112"/>
      <c r="L32" s="112"/>
      <c r="M32" s="112"/>
      <c r="N32" s="112"/>
      <c r="O32" s="112"/>
      <c r="P32" s="112"/>
      <c r="Q32" s="112"/>
      <c r="R32" s="112"/>
      <c r="S32" s="57"/>
      <c r="T32" s="112"/>
      <c r="U32" s="112"/>
      <c r="V32" s="112"/>
      <c r="W32" s="112"/>
      <c r="X32" s="86"/>
      <c r="Y32" s="57"/>
      <c r="Z32" s="80"/>
      <c r="AA32" s="81">
        <v>11</v>
      </c>
      <c r="AB32" s="82"/>
      <c r="AC32" s="81">
        <v>12</v>
      </c>
      <c r="AD32" s="82"/>
      <c r="AE32" s="81">
        <v>13</v>
      </c>
      <c r="AF32" s="82"/>
      <c r="AG32" s="81">
        <v>14</v>
      </c>
      <c r="AH32" s="108"/>
      <c r="AI32" s="41"/>
      <c r="AJ32" s="41"/>
      <c r="AK32" s="41"/>
      <c r="AL32" s="41"/>
      <c r="AM32" s="41"/>
      <c r="AN32" s="41"/>
      <c r="AO32" s="41"/>
      <c r="AP32" s="41"/>
      <c r="AQ32" s="41"/>
      <c r="AR32" s="41"/>
      <c r="AS32" s="41"/>
      <c r="AT32" s="41"/>
      <c r="AU32" s="41"/>
      <c r="AV32" s="41"/>
      <c r="AW32" s="41"/>
      <c r="AX32" s="41"/>
    </row>
    <row r="33" spans="1:50" ht="15" customHeight="1" thickBot="1">
      <c r="A33" s="193"/>
      <c r="B33" s="191"/>
      <c r="C33" s="191"/>
      <c r="D33" s="118"/>
      <c r="E33" s="191"/>
      <c r="F33" s="191"/>
      <c r="G33" s="66"/>
      <c r="H33" s="197"/>
      <c r="I33" s="199"/>
      <c r="J33" s="57"/>
      <c r="K33" s="112"/>
      <c r="L33" s="112"/>
      <c r="M33" s="112"/>
      <c r="N33" s="112"/>
      <c r="O33" s="112"/>
      <c r="P33" s="112"/>
      <c r="Q33" s="112"/>
      <c r="R33" s="112"/>
      <c r="S33" s="57"/>
      <c r="T33" s="112"/>
      <c r="U33" s="112"/>
      <c r="V33" s="112"/>
      <c r="W33" s="112"/>
      <c r="X33" s="41"/>
      <c r="Y33" s="57"/>
      <c r="Z33" s="80"/>
      <c r="AA33" s="82"/>
      <c r="AB33" s="82"/>
      <c r="AC33" s="82"/>
      <c r="AD33" s="82"/>
      <c r="AE33" s="82"/>
      <c r="AF33" s="82"/>
      <c r="AG33" s="82"/>
      <c r="AH33" s="108"/>
      <c r="AI33" s="41"/>
      <c r="AJ33" s="41"/>
      <c r="AK33" s="41"/>
      <c r="AL33" s="41"/>
      <c r="AM33" s="41"/>
      <c r="AN33" s="41"/>
      <c r="AO33" s="41"/>
      <c r="AP33" s="41"/>
      <c r="AQ33" s="41"/>
      <c r="AR33" s="41"/>
      <c r="AS33" s="41"/>
      <c r="AT33" s="41"/>
      <c r="AU33" s="41"/>
      <c r="AV33" s="41"/>
      <c r="AW33" s="41"/>
      <c r="AX33" s="41"/>
    </row>
    <row r="34" spans="1:50" ht="15" customHeight="1">
      <c r="A34" s="41"/>
      <c r="B34" s="41"/>
      <c r="C34" s="41"/>
      <c r="D34" s="41"/>
      <c r="E34" s="41"/>
      <c r="F34" s="41"/>
      <c r="G34" s="57"/>
      <c r="H34" s="57"/>
      <c r="I34" s="57"/>
      <c r="J34" s="57"/>
      <c r="K34" s="112"/>
      <c r="L34" s="112"/>
      <c r="M34" s="112"/>
      <c r="N34" s="112"/>
      <c r="O34" s="112"/>
      <c r="P34" s="112"/>
      <c r="Q34" s="112"/>
      <c r="R34" s="112"/>
      <c r="S34" s="57"/>
      <c r="T34" s="112"/>
      <c r="U34" s="112"/>
      <c r="V34" s="112"/>
      <c r="W34" s="112"/>
      <c r="X34" s="41"/>
      <c r="Y34" s="57"/>
      <c r="Z34" s="80"/>
      <c r="AA34" s="81">
        <v>21</v>
      </c>
      <c r="AB34" s="82"/>
      <c r="AC34" s="81">
        <v>22</v>
      </c>
      <c r="AD34" s="82"/>
      <c r="AE34" s="81">
        <v>23</v>
      </c>
      <c r="AF34" s="82"/>
      <c r="AG34" s="81">
        <v>24</v>
      </c>
      <c r="AH34" s="108"/>
      <c r="AI34" s="41"/>
      <c r="AJ34" s="90" t="s">
        <v>61</v>
      </c>
      <c r="AK34" s="41"/>
      <c r="AL34" s="41"/>
      <c r="AM34" s="41"/>
      <c r="AN34" s="41"/>
      <c r="AO34" s="41"/>
      <c r="AP34" s="41"/>
      <c r="AQ34" s="41"/>
      <c r="AR34" s="41"/>
      <c r="AS34" s="41"/>
      <c r="AT34" s="41"/>
      <c r="AU34" s="41"/>
      <c r="AV34" s="41"/>
      <c r="AW34" s="41"/>
      <c r="AX34" s="41"/>
    </row>
    <row r="35" spans="1:50" ht="15" customHeight="1">
      <c r="A35" s="41"/>
      <c r="B35" s="41"/>
      <c r="C35" s="41"/>
      <c r="E35" s="41"/>
      <c r="F35" s="41"/>
      <c r="G35" s="57"/>
      <c r="H35" s="57"/>
      <c r="I35" s="57"/>
      <c r="J35" s="57"/>
      <c r="K35" s="112"/>
      <c r="L35" s="112"/>
      <c r="M35" s="112"/>
      <c r="N35" s="112"/>
      <c r="O35" s="112"/>
      <c r="P35" s="112"/>
      <c r="Q35" s="112"/>
      <c r="R35" s="112"/>
      <c r="S35" s="57"/>
      <c r="T35" s="112"/>
      <c r="U35" s="112"/>
      <c r="V35" s="112"/>
      <c r="W35" s="112"/>
      <c r="X35" s="41"/>
      <c r="Y35" s="57"/>
      <c r="Z35" s="80"/>
      <c r="AA35" s="82"/>
      <c r="AB35" s="82"/>
      <c r="AC35" s="82"/>
      <c r="AD35" s="82"/>
      <c r="AE35" s="82"/>
      <c r="AF35" s="82"/>
      <c r="AG35" s="82"/>
      <c r="AH35" s="108"/>
      <c r="AI35" s="41"/>
      <c r="AJ35" s="41"/>
      <c r="AK35" s="41"/>
      <c r="AL35" s="41"/>
      <c r="AM35" s="41"/>
      <c r="AN35" s="41"/>
      <c r="AO35" s="41"/>
      <c r="AP35" s="41"/>
      <c r="AQ35" s="41"/>
      <c r="AR35" s="41"/>
      <c r="AS35" s="41"/>
      <c r="AT35" s="41"/>
      <c r="AU35" s="41"/>
      <c r="AV35" s="41"/>
      <c r="AW35" s="41"/>
      <c r="AX35" s="41"/>
    </row>
    <row r="36" spans="1:50" ht="15" customHeight="1">
      <c r="A36" s="41"/>
      <c r="B36" s="41"/>
      <c r="C36" s="41"/>
      <c r="D36" s="41"/>
      <c r="E36" s="41"/>
      <c r="F36" s="41"/>
      <c r="G36" s="57"/>
      <c r="H36" s="57"/>
      <c r="I36" s="57"/>
      <c r="J36" s="41"/>
      <c r="K36" s="41"/>
      <c r="L36" s="41"/>
      <c r="M36" s="41"/>
      <c r="N36" s="41"/>
      <c r="O36" s="41"/>
      <c r="P36" s="41"/>
      <c r="Q36" s="41"/>
      <c r="R36" s="41"/>
      <c r="S36" s="41"/>
      <c r="T36" s="41"/>
      <c r="U36" s="41"/>
      <c r="V36" s="41"/>
      <c r="W36" s="41"/>
      <c r="X36" s="41"/>
      <c r="Y36" s="57"/>
      <c r="Z36" s="80"/>
      <c r="AA36" s="81">
        <v>31</v>
      </c>
      <c r="AB36" s="82"/>
      <c r="AC36" s="81">
        <v>32</v>
      </c>
      <c r="AD36" s="82"/>
      <c r="AE36" s="81">
        <v>33</v>
      </c>
      <c r="AF36" s="82"/>
      <c r="AG36" s="81">
        <v>34</v>
      </c>
      <c r="AH36" s="108"/>
      <c r="AI36" s="41"/>
      <c r="AJ36" s="41"/>
      <c r="AK36" s="41"/>
      <c r="AL36" s="41"/>
      <c r="AM36" s="41"/>
      <c r="AN36" s="41"/>
      <c r="AO36" s="41"/>
      <c r="AP36" s="41"/>
      <c r="AQ36" s="41"/>
      <c r="AR36" s="41"/>
      <c r="AS36" s="41"/>
      <c r="AT36" s="41"/>
      <c r="AU36" s="41"/>
      <c r="AV36" s="41"/>
      <c r="AW36" s="41"/>
      <c r="AX36" s="41"/>
    </row>
    <row r="37" spans="1:50" ht="15" customHeight="1">
      <c r="A37" s="41"/>
      <c r="B37" s="41"/>
      <c r="C37" s="41"/>
      <c r="D37" s="41"/>
      <c r="E37" s="41"/>
      <c r="F37" s="41"/>
      <c r="G37" s="57"/>
      <c r="H37" s="57"/>
      <c r="I37" s="57"/>
      <c r="J37" s="41"/>
      <c r="K37" s="41"/>
      <c r="L37" s="41"/>
      <c r="M37" s="119"/>
      <c r="N37" s="119"/>
      <c r="O37" s="119"/>
      <c r="P37" s="119"/>
      <c r="Q37" s="120"/>
      <c r="R37" s="41"/>
      <c r="S37" s="120"/>
      <c r="T37" s="41"/>
      <c r="U37" s="41"/>
      <c r="V37" s="41"/>
      <c r="W37" s="41"/>
      <c r="X37" s="41"/>
      <c r="Y37" s="57"/>
      <c r="Z37" s="94"/>
      <c r="AA37" s="95"/>
      <c r="AB37" s="95"/>
      <c r="AC37" s="95"/>
      <c r="AD37" s="95"/>
      <c r="AE37" s="95"/>
      <c r="AF37" s="95"/>
      <c r="AG37" s="95"/>
      <c r="AH37" s="110"/>
      <c r="AI37" s="41"/>
      <c r="AJ37" s="41"/>
      <c r="AK37" s="41"/>
      <c r="AL37" s="41"/>
      <c r="AM37" s="41"/>
      <c r="AN37" s="41"/>
      <c r="AO37" s="41"/>
      <c r="AP37" s="41"/>
      <c r="AQ37" s="41"/>
      <c r="AR37" s="41"/>
      <c r="AS37" s="41"/>
      <c r="AT37" s="41"/>
      <c r="AU37" s="41"/>
      <c r="AV37" s="41"/>
      <c r="AW37" s="41"/>
      <c r="AX37" s="41"/>
    </row>
    <row r="38" spans="1:50" ht="15" customHeight="1">
      <c r="A38" s="46"/>
      <c r="B38" s="121"/>
      <c r="C38" s="122"/>
      <c r="D38" s="119"/>
      <c r="E38" s="60"/>
      <c r="F38" s="122"/>
      <c r="G38" s="120"/>
      <c r="H38" s="120"/>
      <c r="I38" s="57"/>
      <c r="J38" s="46"/>
      <c r="K38" s="93"/>
      <c r="L38" s="41"/>
      <c r="M38" s="41"/>
      <c r="N38" s="41"/>
      <c r="O38" s="41"/>
      <c r="P38" s="41"/>
      <c r="Q38" s="112"/>
      <c r="R38" s="41"/>
      <c r="S38" s="57"/>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row>
    <row r="39" spans="1:50" ht="15" customHeight="1">
      <c r="A39" s="41"/>
      <c r="B39" s="117"/>
      <c r="C39" s="41"/>
      <c r="D39" s="41"/>
      <c r="E39" s="123"/>
      <c r="F39" s="41"/>
      <c r="G39" s="41"/>
      <c r="H39" s="57"/>
      <c r="I39" s="57"/>
      <c r="J39" s="57"/>
      <c r="K39" s="57"/>
      <c r="L39" s="57"/>
      <c r="M39" s="57"/>
      <c r="N39" s="57"/>
      <c r="O39" s="57"/>
      <c r="P39" s="57"/>
      <c r="Q39" s="57"/>
      <c r="R39" s="57"/>
      <c r="S39" s="57"/>
      <c r="T39" s="122"/>
      <c r="U39" s="122"/>
      <c r="V39" s="122"/>
      <c r="W39" s="122"/>
      <c r="X39" s="124" t="s">
        <v>102</v>
      </c>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row>
    <row r="40" spans="1:50" ht="15" customHeight="1">
      <c r="A40" s="41"/>
      <c r="B40" s="117"/>
      <c r="C40" s="41"/>
      <c r="D40" s="41"/>
      <c r="E40" s="123"/>
      <c r="F40" s="41"/>
      <c r="G40" s="57"/>
      <c r="H40" s="57"/>
      <c r="I40" s="57"/>
      <c r="J40" s="57"/>
      <c r="K40" s="57"/>
      <c r="L40" s="186" t="s">
        <v>103</v>
      </c>
      <c r="M40" s="178"/>
      <c r="N40" s="178"/>
      <c r="O40" s="178"/>
      <c r="P40" s="178"/>
      <c r="Q40" s="178"/>
      <c r="R40" s="178"/>
      <c r="S40" s="178"/>
      <c r="T40" s="57"/>
      <c r="U40" s="57"/>
      <c r="V40" s="57"/>
      <c r="W40" s="57"/>
      <c r="X40" s="41">
        <v>1</v>
      </c>
      <c r="Y40" s="41" t="s">
        <v>104</v>
      </c>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row>
    <row r="41" spans="1:50" ht="15" customHeight="1">
      <c r="A41" s="41"/>
      <c r="B41" s="117"/>
      <c r="C41" s="41"/>
      <c r="D41" s="41"/>
      <c r="E41" s="125"/>
      <c r="F41" s="41"/>
      <c r="G41" s="57"/>
      <c r="H41" s="57"/>
      <c r="I41" s="57"/>
      <c r="J41" s="57"/>
      <c r="K41" s="57"/>
      <c r="L41" s="178"/>
      <c r="M41" s="178"/>
      <c r="N41" s="178"/>
      <c r="O41" s="178"/>
      <c r="P41" s="178"/>
      <c r="Q41" s="178"/>
      <c r="R41" s="178"/>
      <c r="S41" s="178"/>
      <c r="T41" s="112"/>
      <c r="U41" s="112"/>
      <c r="V41" s="112"/>
      <c r="W41" s="112"/>
      <c r="X41" s="41">
        <v>2</v>
      </c>
      <c r="Y41" s="41" t="s">
        <v>105</v>
      </c>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row>
    <row r="42" spans="1:50" ht="15" customHeight="1">
      <c r="A42" s="41"/>
      <c r="B42" s="57"/>
      <c r="C42" s="41"/>
      <c r="D42" s="41"/>
      <c r="E42" s="122"/>
      <c r="F42" s="57"/>
      <c r="G42" s="57"/>
      <c r="H42" s="57"/>
      <c r="I42" s="57"/>
      <c r="J42" s="57"/>
      <c r="K42" s="57"/>
      <c r="L42" s="178"/>
      <c r="M42" s="178"/>
      <c r="N42" s="178"/>
      <c r="O42" s="178"/>
      <c r="P42" s="178"/>
      <c r="Q42" s="178"/>
      <c r="R42" s="178"/>
      <c r="S42" s="178"/>
      <c r="T42" s="112"/>
      <c r="U42" s="112"/>
      <c r="V42" s="112"/>
      <c r="W42" s="112"/>
      <c r="X42" s="41">
        <v>3</v>
      </c>
      <c r="Y42" s="41" t="s">
        <v>106</v>
      </c>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row>
    <row r="43" spans="1:50" ht="15" customHeight="1">
      <c r="A43" s="41"/>
      <c r="B43" s="57"/>
      <c r="C43" s="41"/>
      <c r="D43" s="41"/>
      <c r="E43" s="122"/>
      <c r="F43" s="57"/>
      <c r="G43" s="57"/>
      <c r="H43" s="57"/>
      <c r="I43" s="57"/>
      <c r="J43" s="57"/>
      <c r="K43" s="57"/>
      <c r="L43" s="178"/>
      <c r="M43" s="178"/>
      <c r="N43" s="178"/>
      <c r="O43" s="178"/>
      <c r="P43" s="178"/>
      <c r="Q43" s="178"/>
      <c r="R43" s="178"/>
      <c r="S43" s="178"/>
      <c r="T43" s="112"/>
      <c r="U43" s="112"/>
      <c r="V43" s="112"/>
      <c r="W43" s="112"/>
      <c r="X43" s="41">
        <v>4</v>
      </c>
      <c r="Y43" s="41" t="s">
        <v>107</v>
      </c>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row>
    <row r="44" spans="1:50" ht="15" customHeight="1">
      <c r="A44" s="41"/>
      <c r="B44" s="41"/>
      <c r="C44" s="41"/>
      <c r="D44" s="41"/>
      <c r="E44" s="41"/>
      <c r="F44" s="41"/>
      <c r="G44" s="41"/>
      <c r="H44" s="57"/>
      <c r="I44" s="57"/>
      <c r="J44" s="57"/>
      <c r="K44" s="57"/>
      <c r="L44" s="178"/>
      <c r="M44" s="178"/>
      <c r="N44" s="178"/>
      <c r="O44" s="178"/>
      <c r="P44" s="178"/>
      <c r="Q44" s="178"/>
      <c r="R44" s="178"/>
      <c r="S44" s="178"/>
      <c r="T44" s="112"/>
      <c r="U44" s="112"/>
      <c r="V44" s="112"/>
      <c r="W44" s="112"/>
      <c r="X44" s="41">
        <v>5</v>
      </c>
      <c r="Y44" s="41" t="s">
        <v>108</v>
      </c>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row>
    <row r="45" spans="1:50" ht="15" customHeight="1">
      <c r="A45" s="46"/>
      <c r="B45" s="57"/>
      <c r="C45" s="41"/>
      <c r="D45" s="41"/>
      <c r="E45" s="112"/>
      <c r="F45" s="41"/>
      <c r="G45" s="112"/>
      <c r="H45" s="112"/>
      <c r="I45" s="57"/>
      <c r="J45" s="57"/>
      <c r="K45" s="57"/>
      <c r="L45" s="187" t="s">
        <v>109</v>
      </c>
      <c r="M45" s="188"/>
      <c r="N45" s="188"/>
      <c r="O45" s="188"/>
      <c r="P45" s="188"/>
      <c r="Q45" s="188"/>
      <c r="R45" s="188"/>
      <c r="S45" s="188"/>
      <c r="T45" s="112"/>
      <c r="U45" s="112"/>
      <c r="V45" s="112"/>
      <c r="W45" s="112"/>
      <c r="X45" s="41"/>
      <c r="Y45" s="41" t="s">
        <v>110</v>
      </c>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row>
    <row r="46" spans="1:50" ht="15" customHeight="1">
      <c r="A46" s="46"/>
      <c r="B46" s="57"/>
      <c r="C46" s="41"/>
      <c r="D46" s="41"/>
      <c r="E46" s="112"/>
      <c r="F46" s="41"/>
      <c r="G46" s="112"/>
      <c r="H46" s="112"/>
      <c r="I46" s="57"/>
      <c r="J46" s="57"/>
      <c r="K46" s="57"/>
      <c r="L46" s="188"/>
      <c r="M46" s="178"/>
      <c r="N46" s="178"/>
      <c r="O46" s="178"/>
      <c r="P46" s="178"/>
      <c r="Q46" s="178"/>
      <c r="R46" s="178"/>
      <c r="S46" s="188"/>
      <c r="T46" s="112"/>
      <c r="U46" s="112"/>
      <c r="V46" s="112"/>
      <c r="W46" s="112"/>
      <c r="X46" s="41">
        <v>6</v>
      </c>
      <c r="Y46" s="41" t="s">
        <v>111</v>
      </c>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row>
    <row r="47" spans="1:50" ht="15" customHeight="1">
      <c r="A47" s="41"/>
      <c r="B47" s="41"/>
      <c r="C47" s="41"/>
      <c r="D47" s="41"/>
      <c r="E47" s="122"/>
      <c r="F47" s="41"/>
      <c r="G47" s="112"/>
      <c r="H47" s="112"/>
      <c r="I47" s="57"/>
      <c r="J47" s="57"/>
      <c r="K47" s="57"/>
      <c r="L47" s="188"/>
      <c r="M47" s="188"/>
      <c r="N47" s="188"/>
      <c r="O47" s="188"/>
      <c r="P47" s="188"/>
      <c r="Q47" s="188"/>
      <c r="R47" s="188"/>
      <c r="S47" s="188"/>
      <c r="T47" s="112"/>
      <c r="U47" s="112"/>
      <c r="V47" s="112"/>
      <c r="W47" s="112"/>
      <c r="X47" s="41">
        <v>7</v>
      </c>
      <c r="Y47" s="41" t="s">
        <v>112</v>
      </c>
      <c r="Z47" s="41"/>
      <c r="AA47" s="41"/>
      <c r="AB47" s="41"/>
      <c r="AC47" s="41"/>
      <c r="AD47" s="41"/>
      <c r="AE47" s="120"/>
      <c r="AF47" s="41"/>
      <c r="AG47" s="41"/>
      <c r="AH47" s="41"/>
      <c r="AI47" s="41"/>
      <c r="AJ47" s="41"/>
      <c r="AK47" s="41"/>
      <c r="AL47" s="41"/>
      <c r="AM47" s="41"/>
      <c r="AN47" s="41"/>
      <c r="AO47" s="41"/>
      <c r="AP47" s="41"/>
      <c r="AQ47" s="41"/>
      <c r="AR47" s="41"/>
      <c r="AS47" s="41"/>
      <c r="AT47" s="41"/>
      <c r="AU47" s="41"/>
      <c r="AV47" s="41"/>
      <c r="AW47" s="41"/>
      <c r="AX47" s="41"/>
    </row>
    <row r="48" spans="1:50" ht="15" customHeight="1">
      <c r="A48" s="46"/>
      <c r="B48" s="41"/>
      <c r="C48" s="41"/>
      <c r="D48" s="41"/>
      <c r="E48" s="60"/>
      <c r="F48" s="41"/>
      <c r="G48" s="112"/>
      <c r="H48" s="112"/>
      <c r="I48" s="57"/>
      <c r="J48" s="57"/>
      <c r="K48" s="57"/>
      <c r="L48" s="57"/>
      <c r="M48" s="57"/>
      <c r="N48" s="57"/>
      <c r="O48" s="57"/>
      <c r="P48" s="57"/>
      <c r="Q48" s="112"/>
      <c r="R48" s="122"/>
      <c r="S48" s="112"/>
      <c r="T48" s="112"/>
      <c r="U48" s="112"/>
      <c r="V48" s="112"/>
      <c r="W48" s="112"/>
      <c r="X48" s="41">
        <v>8</v>
      </c>
      <c r="Y48" s="41" t="s">
        <v>113</v>
      </c>
      <c r="Z48" s="41"/>
      <c r="AA48" s="41"/>
      <c r="AB48" s="41"/>
      <c r="AC48" s="41"/>
      <c r="AD48" s="41"/>
      <c r="AE48" s="120"/>
      <c r="AF48" s="41"/>
      <c r="AG48" s="41"/>
      <c r="AH48" s="41"/>
      <c r="AI48" s="41"/>
      <c r="AJ48" s="41"/>
      <c r="AK48" s="41"/>
      <c r="AL48" s="41"/>
      <c r="AM48" s="41"/>
      <c r="AN48" s="41"/>
      <c r="AO48" s="41"/>
      <c r="AP48" s="41"/>
      <c r="AQ48" s="41"/>
      <c r="AR48" s="41"/>
      <c r="AS48" s="41"/>
      <c r="AT48" s="41"/>
      <c r="AU48" s="41"/>
      <c r="AV48" s="41"/>
      <c r="AW48" s="41"/>
      <c r="AX48" s="41"/>
    </row>
    <row r="49" spans="1:50" ht="15" customHeight="1">
      <c r="A49" s="41"/>
      <c r="B49" s="41"/>
      <c r="C49" s="41"/>
      <c r="D49" s="41"/>
      <c r="E49" s="60"/>
      <c r="F49" s="41"/>
      <c r="G49" s="112"/>
      <c r="H49" s="112"/>
      <c r="I49" s="57"/>
      <c r="J49" s="57"/>
      <c r="K49" s="57"/>
      <c r="L49" s="57"/>
      <c r="M49" s="57"/>
      <c r="N49" s="57"/>
      <c r="O49" s="57"/>
      <c r="P49" s="57"/>
      <c r="Q49" s="57"/>
      <c r="R49" s="122"/>
      <c r="S49" s="112"/>
      <c r="T49" s="112"/>
      <c r="U49" s="112"/>
      <c r="V49" s="112"/>
      <c r="W49" s="112"/>
      <c r="X49" s="41">
        <v>9</v>
      </c>
      <c r="Y49" s="41" t="s">
        <v>114</v>
      </c>
      <c r="Z49" s="41"/>
      <c r="AA49" s="41"/>
      <c r="AB49" s="41"/>
      <c r="AC49" s="41"/>
      <c r="AD49" s="41"/>
      <c r="AE49" s="120"/>
      <c r="AF49" s="41"/>
      <c r="AG49" s="41"/>
      <c r="AH49" s="41"/>
      <c r="AI49" s="41"/>
      <c r="AJ49" s="41"/>
      <c r="AK49" s="41"/>
      <c r="AL49" s="41"/>
      <c r="AM49" s="41"/>
      <c r="AN49" s="41"/>
      <c r="AO49" s="41"/>
      <c r="AP49" s="41"/>
      <c r="AQ49" s="41"/>
      <c r="AR49" s="41"/>
      <c r="AS49" s="41"/>
      <c r="AT49" s="41"/>
      <c r="AU49" s="41"/>
      <c r="AV49" s="41"/>
      <c r="AW49" s="41"/>
      <c r="AX49" s="41"/>
    </row>
    <row r="50" spans="1:50" ht="15" customHeight="1">
      <c r="A50" s="41"/>
      <c r="B50" s="93"/>
      <c r="C50" s="41"/>
      <c r="D50" s="41"/>
      <c r="E50" s="60"/>
      <c r="F50" s="41"/>
      <c r="G50" s="112"/>
      <c r="H50" s="112"/>
      <c r="I50" s="57"/>
      <c r="J50" s="57"/>
      <c r="K50" s="57"/>
      <c r="L50" s="57"/>
      <c r="M50" s="57"/>
      <c r="N50" s="57"/>
      <c r="O50" s="57"/>
      <c r="P50" s="57"/>
      <c r="Q50" s="57"/>
      <c r="R50" s="122"/>
      <c r="S50" s="112"/>
      <c r="T50" s="112"/>
      <c r="U50" s="112"/>
      <c r="V50" s="112"/>
      <c r="W50" s="112"/>
      <c r="X50" s="41">
        <v>10</v>
      </c>
      <c r="Y50" s="41" t="s">
        <v>115</v>
      </c>
      <c r="Z50" s="41"/>
      <c r="AA50" s="41"/>
      <c r="AB50" s="41"/>
      <c r="AC50" s="41"/>
      <c r="AD50" s="41"/>
      <c r="AE50" s="57"/>
      <c r="AF50" s="41"/>
      <c r="AG50" s="41"/>
      <c r="AH50" s="41"/>
      <c r="AI50" s="41"/>
      <c r="AJ50" s="41"/>
      <c r="AK50" s="41"/>
      <c r="AL50" s="41"/>
      <c r="AM50" s="41"/>
      <c r="AN50" s="41"/>
      <c r="AO50" s="41"/>
      <c r="AP50" s="41"/>
      <c r="AQ50" s="41"/>
      <c r="AR50" s="41"/>
      <c r="AS50" s="41"/>
      <c r="AT50" s="41"/>
      <c r="AU50" s="41"/>
      <c r="AV50" s="41"/>
      <c r="AW50" s="41"/>
      <c r="AX50" s="41"/>
    </row>
    <row r="51" spans="1:50" ht="15" customHeight="1">
      <c r="A51" s="41"/>
      <c r="B51" s="41"/>
      <c r="C51" s="41"/>
      <c r="D51" s="41"/>
      <c r="E51" s="60"/>
      <c r="F51" s="41"/>
      <c r="G51" s="112"/>
      <c r="H51" s="112"/>
      <c r="I51" s="122"/>
      <c r="J51" s="57"/>
      <c r="K51" s="57"/>
      <c r="L51" s="57"/>
      <c r="M51" s="57"/>
      <c r="N51" s="57"/>
      <c r="O51" s="57"/>
      <c r="P51" s="57"/>
      <c r="Q51" s="57"/>
      <c r="R51" s="122"/>
      <c r="S51" s="112"/>
      <c r="T51" s="112"/>
      <c r="U51" s="112"/>
      <c r="V51" s="112"/>
      <c r="W51" s="112"/>
      <c r="X51" s="41">
        <v>11</v>
      </c>
      <c r="Y51" s="41" t="s">
        <v>116</v>
      </c>
      <c r="Z51" s="41"/>
      <c r="AA51" s="41"/>
      <c r="AB51" s="41"/>
      <c r="AC51" s="41"/>
      <c r="AD51" s="41"/>
      <c r="AE51" s="57"/>
      <c r="AF51" s="41"/>
      <c r="AG51" s="41"/>
      <c r="AH51" s="41"/>
      <c r="AI51" s="41"/>
      <c r="AJ51" s="41"/>
      <c r="AK51" s="41"/>
      <c r="AL51" s="41"/>
      <c r="AM51" s="41"/>
      <c r="AN51" s="41"/>
      <c r="AO51" s="41"/>
      <c r="AP51" s="41"/>
      <c r="AQ51" s="41"/>
      <c r="AR51" s="41"/>
      <c r="AS51" s="41"/>
      <c r="AT51" s="41"/>
      <c r="AU51" s="41"/>
      <c r="AV51" s="41"/>
      <c r="AW51" s="41"/>
      <c r="AX51" s="41"/>
    </row>
    <row r="52" spans="1:50" ht="15" customHeight="1">
      <c r="A52" s="41"/>
      <c r="B52" s="41"/>
      <c r="C52" s="41"/>
      <c r="D52" s="41"/>
      <c r="E52" s="57"/>
      <c r="F52" s="41"/>
      <c r="G52" s="112"/>
      <c r="H52" s="112"/>
      <c r="I52" s="122"/>
      <c r="J52" s="57"/>
      <c r="K52" s="57"/>
      <c r="L52" s="57"/>
      <c r="M52" s="57"/>
      <c r="N52" s="57"/>
      <c r="O52" s="57"/>
      <c r="P52" s="57"/>
      <c r="Q52" s="57"/>
      <c r="R52" s="122"/>
      <c r="S52" s="112"/>
      <c r="T52" s="112"/>
      <c r="U52" s="112"/>
      <c r="V52" s="112"/>
      <c r="W52" s="112"/>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row>
    <row r="53" spans="1:50" ht="15" customHeight="1">
      <c r="A53" s="41"/>
      <c r="B53" s="41"/>
      <c r="C53" s="41"/>
      <c r="D53" s="41"/>
      <c r="E53" s="41"/>
      <c r="F53" s="41"/>
      <c r="G53" s="41"/>
      <c r="H53" s="57"/>
      <c r="I53" s="122"/>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row>
    <row r="54" spans="1:50" ht="15" customHeight="1">
      <c r="A54" s="57"/>
      <c r="B54" s="57"/>
      <c r="C54" s="57"/>
      <c r="D54" s="57"/>
      <c r="E54" s="57"/>
      <c r="F54" s="57"/>
      <c r="G54" s="57"/>
      <c r="H54" s="57"/>
      <c r="I54" s="122"/>
      <c r="J54" s="41"/>
      <c r="K54" s="41"/>
      <c r="L54" s="41"/>
      <c r="M54" s="41"/>
      <c r="N54" s="41"/>
      <c r="O54" s="41"/>
      <c r="P54" s="41"/>
      <c r="Q54" s="112"/>
      <c r="R54" s="41"/>
      <c r="S54" s="57"/>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row>
    <row r="55" spans="1:50" ht="15" customHeight="1">
      <c r="A55" s="57"/>
      <c r="B55" s="57"/>
      <c r="C55" s="57"/>
      <c r="D55" s="57"/>
      <c r="E55" s="57"/>
      <c r="F55" s="57"/>
      <c r="G55" s="57"/>
      <c r="H55" s="57"/>
      <c r="I55" s="122"/>
      <c r="J55" s="41"/>
      <c r="K55" s="57"/>
      <c r="L55" s="41"/>
      <c r="M55" s="41"/>
      <c r="N55" s="41"/>
      <c r="O55" s="41"/>
      <c r="P55" s="41"/>
      <c r="Q55" s="57"/>
      <c r="R55" s="41"/>
      <c r="S55" s="57"/>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row>
    <row r="56" spans="1:50" ht="15" customHeight="1">
      <c r="A56" s="57"/>
      <c r="B56" s="57"/>
      <c r="C56" s="57"/>
      <c r="D56" s="57"/>
      <c r="E56" s="57"/>
      <c r="F56" s="57"/>
      <c r="G56" s="120"/>
      <c r="H56" s="120"/>
      <c r="I56" s="112"/>
      <c r="J56" s="41"/>
      <c r="K56" s="41"/>
      <c r="L56" s="41"/>
      <c r="M56" s="41"/>
      <c r="N56" s="41"/>
      <c r="O56" s="41"/>
      <c r="P56" s="41"/>
      <c r="Q56" s="122"/>
      <c r="R56" s="90"/>
      <c r="S56" s="57"/>
      <c r="T56" s="57"/>
      <c r="U56" s="57"/>
      <c r="V56" s="57"/>
      <c r="W56" s="57"/>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row>
    <row r="57" spans="1:50" ht="15" customHeight="1">
      <c r="A57" s="57"/>
      <c r="B57" s="57"/>
      <c r="C57" s="57"/>
      <c r="D57" s="57"/>
      <c r="E57" s="57"/>
      <c r="F57" s="57"/>
      <c r="G57" s="120"/>
      <c r="H57" s="120"/>
      <c r="I57" s="112"/>
      <c r="J57" s="41"/>
      <c r="K57" s="41"/>
      <c r="L57" s="41"/>
      <c r="M57" s="41"/>
      <c r="N57" s="41"/>
      <c r="O57" s="41"/>
      <c r="P57" s="41"/>
      <c r="Q57" s="112"/>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row>
    <row r="58" spans="1:50" ht="15" customHeight="1">
      <c r="A58" s="57"/>
      <c r="B58" s="57"/>
      <c r="C58" s="57"/>
      <c r="D58" s="57"/>
      <c r="E58" s="57"/>
      <c r="F58" s="57"/>
      <c r="G58" s="120"/>
      <c r="H58" s="120"/>
      <c r="I58" s="112"/>
      <c r="J58" s="41"/>
      <c r="K58" s="57"/>
      <c r="L58" s="41"/>
      <c r="M58" s="41"/>
      <c r="N58" s="41"/>
      <c r="O58" s="41"/>
      <c r="P58" s="41"/>
      <c r="Q58" s="57"/>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row>
    <row r="59" spans="1:50" ht="15" customHeight="1">
      <c r="A59" s="57"/>
      <c r="B59" s="57"/>
      <c r="C59" s="57"/>
      <c r="D59" s="57"/>
      <c r="E59" s="57"/>
      <c r="F59" s="57"/>
      <c r="G59" s="120"/>
      <c r="H59" s="120"/>
      <c r="I59" s="112"/>
      <c r="J59" s="41"/>
      <c r="K59" s="41"/>
      <c r="L59" s="41"/>
      <c r="M59" s="41"/>
      <c r="N59" s="41"/>
      <c r="O59" s="41"/>
      <c r="P59" s="41"/>
      <c r="Q59" s="122"/>
      <c r="R59" s="90"/>
      <c r="S59" s="57"/>
      <c r="T59" s="57"/>
      <c r="U59" s="57"/>
      <c r="V59" s="57"/>
      <c r="W59" s="57"/>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row>
    <row r="60" spans="1:50" ht="15" customHeight="1">
      <c r="A60" s="57"/>
      <c r="B60" s="57"/>
      <c r="C60" s="57"/>
      <c r="D60" s="57"/>
      <c r="E60" s="57"/>
      <c r="F60" s="57"/>
      <c r="G60" s="120"/>
      <c r="H60" s="120"/>
      <c r="I60" s="112"/>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row>
    <row r="61" spans="1:50" ht="15" customHeight="1">
      <c r="A61" s="57"/>
      <c r="B61" s="57"/>
      <c r="C61" s="57"/>
      <c r="D61" s="57"/>
      <c r="E61" s="57"/>
      <c r="F61" s="57"/>
      <c r="G61" s="120"/>
      <c r="H61" s="120"/>
      <c r="I61" s="112"/>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row>
    <row r="62" spans="1:50" ht="15" customHeight="1">
      <c r="A62" s="57"/>
      <c r="B62" s="57"/>
      <c r="C62" s="57"/>
      <c r="D62" s="57"/>
      <c r="E62" s="57"/>
      <c r="F62" s="57"/>
      <c r="G62" s="120"/>
      <c r="H62" s="120"/>
      <c r="I62" s="112"/>
      <c r="J62" s="41"/>
      <c r="K62" s="41"/>
      <c r="L62" s="41"/>
      <c r="M62" s="41"/>
      <c r="N62" s="41"/>
      <c r="O62" s="41"/>
      <c r="P62" s="41"/>
      <c r="Q62" s="122"/>
      <c r="R62" s="41"/>
      <c r="S62" s="41"/>
      <c r="T62" s="126"/>
      <c r="U62" s="126"/>
      <c r="V62" s="126"/>
      <c r="W62" s="126"/>
      <c r="X62" s="41"/>
      <c r="Y62" s="41"/>
      <c r="Z62" s="41"/>
      <c r="AA62" s="41"/>
      <c r="AB62" s="41"/>
      <c r="AC62" s="41"/>
      <c r="AD62" s="41"/>
      <c r="AE62" s="41"/>
      <c r="AF62" s="41"/>
      <c r="AG62" s="41"/>
      <c r="AH62" s="57"/>
      <c r="AI62" s="57"/>
      <c r="AJ62" s="41"/>
      <c r="AK62" s="41"/>
      <c r="AL62" s="41"/>
      <c r="AM62" s="41"/>
      <c r="AN62" s="41"/>
      <c r="AO62" s="41"/>
      <c r="AP62" s="41"/>
      <c r="AQ62" s="41"/>
      <c r="AR62" s="41"/>
      <c r="AS62" s="41"/>
      <c r="AT62" s="41"/>
      <c r="AU62" s="41"/>
      <c r="AV62" s="41"/>
      <c r="AW62" s="41"/>
      <c r="AX62" s="41"/>
    </row>
    <row r="63" spans="1:50" ht="15" customHeight="1">
      <c r="A63" s="57"/>
      <c r="B63" s="57"/>
      <c r="C63" s="57"/>
      <c r="D63" s="57"/>
      <c r="E63" s="57"/>
      <c r="F63" s="57"/>
      <c r="G63" s="120"/>
      <c r="H63" s="120"/>
      <c r="I63" s="112"/>
      <c r="J63" s="46"/>
      <c r="K63" s="41"/>
      <c r="L63" s="41"/>
      <c r="M63" s="41"/>
      <c r="N63" s="41"/>
      <c r="O63" s="41"/>
      <c r="P63" s="41"/>
      <c r="Q63" s="41"/>
      <c r="R63" s="41"/>
      <c r="S63" s="41"/>
      <c r="T63" s="126"/>
      <c r="U63" s="126"/>
      <c r="V63" s="126"/>
      <c r="W63" s="126"/>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row>
    <row r="64" spans="1:50" ht="15" customHeight="1">
      <c r="A64" s="57"/>
      <c r="B64" s="57"/>
      <c r="C64" s="57"/>
      <c r="D64" s="57"/>
      <c r="E64" s="57"/>
      <c r="F64" s="57"/>
      <c r="G64" s="120"/>
      <c r="H64" s="120"/>
      <c r="I64" s="112"/>
      <c r="J64" s="46"/>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row>
    <row r="65" spans="1:50" ht="15" customHeight="1">
      <c r="A65" s="57"/>
      <c r="B65" s="57"/>
      <c r="C65" s="57"/>
      <c r="D65" s="57"/>
      <c r="E65" s="57"/>
      <c r="F65" s="57"/>
      <c r="G65" s="120"/>
      <c r="H65" s="120"/>
      <c r="I65" s="112"/>
      <c r="J65" s="46"/>
      <c r="K65" s="41"/>
      <c r="L65" s="41"/>
      <c r="M65" s="41"/>
      <c r="N65" s="41"/>
      <c r="O65" s="41"/>
      <c r="P65" s="41"/>
      <c r="Q65" s="57"/>
      <c r="R65" s="41"/>
      <c r="S65" s="112"/>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row>
    <row r="66" spans="1:50" ht="15" customHeight="1">
      <c r="A66" s="57"/>
      <c r="B66" s="57"/>
      <c r="C66" s="57"/>
      <c r="D66" s="57"/>
      <c r="E66" s="57"/>
      <c r="F66" s="57"/>
      <c r="G66" s="120"/>
      <c r="H66" s="120"/>
      <c r="I66" s="112"/>
      <c r="J66" s="41"/>
      <c r="K66" s="41"/>
      <c r="L66" s="41"/>
      <c r="M66" s="41"/>
      <c r="N66" s="41"/>
      <c r="O66" s="41"/>
      <c r="P66" s="41"/>
      <c r="Q66" s="57"/>
      <c r="R66" s="41"/>
      <c r="S66" s="112"/>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row>
    <row r="67" spans="1:50" ht="15" customHeight="1">
      <c r="A67" s="57"/>
      <c r="B67" s="57"/>
      <c r="C67" s="57"/>
      <c r="D67" s="57"/>
      <c r="E67" s="57"/>
      <c r="F67" s="57"/>
      <c r="G67" s="120"/>
      <c r="H67" s="120"/>
      <c r="I67" s="112"/>
      <c r="J67" s="41"/>
      <c r="K67" s="57"/>
      <c r="L67" s="41"/>
      <c r="M67" s="41"/>
      <c r="N67" s="41"/>
      <c r="O67" s="41"/>
      <c r="P67" s="41"/>
      <c r="Q67" s="60"/>
      <c r="R67" s="41"/>
      <c r="S67" s="112"/>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row>
    <row r="68" spans="1:50" ht="15" customHeight="1">
      <c r="A68" s="41"/>
      <c r="B68" s="41"/>
      <c r="C68" s="41"/>
      <c r="D68" s="41"/>
      <c r="E68" s="41"/>
      <c r="F68" s="41"/>
      <c r="G68" s="41"/>
      <c r="H68" s="57"/>
      <c r="I68" s="57"/>
      <c r="J68" s="41"/>
      <c r="K68" s="41"/>
      <c r="L68" s="41"/>
      <c r="M68" s="41"/>
      <c r="N68" s="41"/>
      <c r="O68" s="41"/>
      <c r="P68" s="41"/>
      <c r="Q68" s="57"/>
      <c r="R68" s="41"/>
      <c r="S68" s="57"/>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row>
    <row r="69" spans="1:50" ht="15" customHeight="1">
      <c r="A69" s="41"/>
      <c r="B69" s="41"/>
      <c r="C69" s="41"/>
      <c r="D69" s="41"/>
      <c r="E69" s="112"/>
      <c r="F69" s="41"/>
      <c r="G69" s="57"/>
      <c r="H69" s="57"/>
      <c r="I69" s="57"/>
      <c r="J69" s="41"/>
      <c r="K69" s="41"/>
      <c r="L69" s="41"/>
      <c r="M69" s="41"/>
      <c r="N69" s="41"/>
      <c r="O69" s="41"/>
      <c r="P69" s="41"/>
      <c r="Q69" s="112"/>
      <c r="R69" s="41"/>
      <c r="S69" s="57"/>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row>
    <row r="70" spans="1:50" ht="15" customHeight="1">
      <c r="A70" s="41"/>
      <c r="B70" s="57"/>
      <c r="C70" s="41"/>
      <c r="D70" s="41"/>
      <c r="E70" s="57"/>
      <c r="F70" s="41"/>
      <c r="G70" s="57"/>
      <c r="H70" s="57"/>
      <c r="I70" s="57"/>
      <c r="J70" s="41"/>
      <c r="K70" s="41"/>
      <c r="L70" s="41"/>
      <c r="M70" s="41"/>
      <c r="N70" s="41"/>
      <c r="O70" s="41"/>
      <c r="P70" s="41"/>
      <c r="Q70" s="112"/>
      <c r="R70" s="41"/>
      <c r="S70" s="57"/>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row>
    <row r="71" spans="1:50" ht="15" customHeight="1">
      <c r="A71" s="41"/>
      <c r="B71" s="41"/>
      <c r="C71" s="41"/>
      <c r="D71" s="41"/>
      <c r="E71" s="122"/>
      <c r="F71" s="90"/>
      <c r="G71" s="57"/>
      <c r="H71" s="57"/>
      <c r="I71" s="57"/>
      <c r="J71" s="41"/>
      <c r="K71" s="57"/>
      <c r="L71" s="41"/>
      <c r="M71" s="41"/>
      <c r="N71" s="41"/>
      <c r="O71" s="41"/>
      <c r="P71" s="41"/>
      <c r="Q71" s="127"/>
      <c r="R71" s="41"/>
      <c r="S71" s="57"/>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row>
    <row r="72" spans="1:50" ht="15" customHeight="1">
      <c r="A72" s="41"/>
      <c r="B72" s="41"/>
      <c r="C72" s="41"/>
      <c r="D72" s="41"/>
      <c r="E72" s="41"/>
      <c r="F72" s="41"/>
      <c r="G72" s="41"/>
      <c r="H72" s="57"/>
      <c r="I72" s="57"/>
      <c r="J72" s="41"/>
      <c r="K72" s="57"/>
      <c r="L72" s="41"/>
      <c r="M72" s="41"/>
      <c r="N72" s="41"/>
      <c r="O72" s="41"/>
      <c r="P72" s="41"/>
      <c r="Q72" s="127"/>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row>
    <row r="73" spans="1:50" ht="15" customHeight="1">
      <c r="A73" s="46"/>
      <c r="B73" s="41"/>
      <c r="C73" s="41"/>
      <c r="D73" s="41"/>
      <c r="E73" s="41"/>
      <c r="F73" s="41"/>
      <c r="G73" s="41"/>
      <c r="H73" s="57"/>
      <c r="I73" s="57"/>
      <c r="J73" s="46"/>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row>
    <row r="74" spans="1:50" ht="15" customHeight="1">
      <c r="A74" s="41"/>
      <c r="B74" s="41"/>
      <c r="C74" s="41"/>
      <c r="D74" s="41"/>
      <c r="E74" s="41"/>
      <c r="F74" s="41"/>
      <c r="G74" s="41"/>
      <c r="H74" s="57"/>
      <c r="I74" s="57"/>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row>
    <row r="75" spans="1:50" ht="15" customHeight="1">
      <c r="A75" s="57"/>
      <c r="B75" s="57"/>
      <c r="C75" s="57"/>
      <c r="D75" s="57"/>
      <c r="E75" s="57"/>
      <c r="F75" s="57"/>
      <c r="G75" s="57"/>
      <c r="H75" s="57"/>
      <c r="I75" s="57"/>
      <c r="J75" s="93"/>
      <c r="K75" s="41"/>
      <c r="L75" s="41"/>
      <c r="M75" s="41"/>
      <c r="N75" s="41"/>
      <c r="O75" s="41"/>
      <c r="P75" s="41"/>
      <c r="Q75" s="57"/>
      <c r="R75" s="41"/>
      <c r="S75" s="57"/>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row>
    <row r="76" spans="1:50" ht="15" customHeight="1">
      <c r="A76" s="57"/>
      <c r="B76" s="57"/>
      <c r="C76" s="57"/>
      <c r="D76" s="57"/>
      <c r="E76" s="57"/>
      <c r="F76" s="57"/>
      <c r="G76" s="57"/>
      <c r="H76" s="57"/>
      <c r="I76" s="57"/>
      <c r="J76" s="41"/>
      <c r="K76" s="41"/>
      <c r="L76" s="41"/>
      <c r="M76" s="41"/>
      <c r="N76" s="41"/>
      <c r="O76" s="41"/>
      <c r="P76" s="41"/>
      <c r="Q76" s="57"/>
      <c r="R76" s="41"/>
      <c r="S76" s="57"/>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row>
    <row r="77" spans="1:50" ht="15" customHeight="1">
      <c r="A77" s="57"/>
      <c r="B77" s="112"/>
      <c r="C77" s="57"/>
      <c r="D77" s="57"/>
      <c r="E77" s="112"/>
      <c r="F77" s="112"/>
      <c r="G77" s="112"/>
      <c r="H77" s="112"/>
      <c r="I77" s="112"/>
      <c r="J77" s="41"/>
      <c r="K77" s="41"/>
      <c r="L77" s="41"/>
      <c r="M77" s="41"/>
      <c r="N77" s="41"/>
      <c r="O77" s="41"/>
      <c r="P77" s="41"/>
      <c r="Q77" s="57"/>
      <c r="R77" s="41"/>
      <c r="S77" s="57"/>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row>
    <row r="78" spans="1:50" ht="15" customHeight="1">
      <c r="A78" s="57"/>
      <c r="B78" s="112"/>
      <c r="C78" s="57"/>
      <c r="D78" s="57"/>
      <c r="E78" s="112"/>
      <c r="F78" s="112"/>
      <c r="G78" s="112"/>
      <c r="H78" s="112"/>
      <c r="I78" s="112"/>
      <c r="J78" s="41"/>
      <c r="K78" s="41"/>
      <c r="L78" s="41"/>
      <c r="M78" s="41"/>
      <c r="N78" s="41"/>
      <c r="O78" s="41"/>
      <c r="P78" s="41"/>
      <c r="Q78" s="122"/>
      <c r="R78" s="41"/>
      <c r="S78" s="57"/>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row>
    <row r="79" spans="1:50" ht="15" customHeight="1">
      <c r="A79" s="57"/>
      <c r="B79" s="112"/>
      <c r="C79" s="57"/>
      <c r="D79" s="57"/>
      <c r="E79" s="112"/>
      <c r="F79" s="112"/>
      <c r="G79" s="112"/>
      <c r="H79" s="112"/>
      <c r="I79" s="112"/>
      <c r="J79" s="41"/>
      <c r="K79" s="41"/>
      <c r="L79" s="41"/>
      <c r="M79" s="41"/>
      <c r="N79" s="41"/>
      <c r="O79" s="41"/>
      <c r="P79" s="41"/>
      <c r="Q79" s="112"/>
      <c r="R79" s="41"/>
      <c r="S79" s="57"/>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row>
    <row r="80" spans="1:50" ht="15" customHeight="1">
      <c r="A80" s="57"/>
      <c r="B80" s="112"/>
      <c r="C80" s="57"/>
      <c r="D80" s="57"/>
      <c r="E80" s="112"/>
      <c r="F80" s="112"/>
      <c r="G80" s="112"/>
      <c r="H80" s="112"/>
      <c r="I80" s="112"/>
      <c r="J80" s="41"/>
      <c r="K80" s="41"/>
      <c r="L80" s="41"/>
      <c r="M80" s="41"/>
      <c r="N80" s="41"/>
      <c r="O80" s="41"/>
      <c r="P80" s="41"/>
      <c r="Q80" s="112"/>
      <c r="R80" s="41"/>
      <c r="S80" s="57"/>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row>
    <row r="81" spans="1:50" ht="15" customHeight="1">
      <c r="A81" s="57"/>
      <c r="B81" s="112"/>
      <c r="C81" s="57"/>
      <c r="D81" s="57"/>
      <c r="E81" s="112"/>
      <c r="F81" s="112"/>
      <c r="G81" s="112"/>
      <c r="H81" s="112"/>
      <c r="I81" s="112"/>
      <c r="J81" s="41"/>
      <c r="K81" s="41"/>
      <c r="L81" s="41"/>
      <c r="M81" s="41"/>
      <c r="N81" s="41"/>
      <c r="O81" s="41"/>
      <c r="P81" s="41"/>
      <c r="Q81" s="122"/>
      <c r="R81" s="41"/>
      <c r="S81" s="57"/>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row>
    <row r="82" spans="1:50" ht="15" customHeight="1">
      <c r="A82" s="57"/>
      <c r="B82" s="112"/>
      <c r="C82" s="57"/>
      <c r="D82" s="57"/>
      <c r="E82" s="112"/>
      <c r="F82" s="112"/>
      <c r="G82" s="112"/>
      <c r="H82" s="112"/>
      <c r="I82" s="112"/>
      <c r="J82" s="41"/>
      <c r="K82" s="41"/>
      <c r="L82" s="41"/>
      <c r="M82" s="41"/>
      <c r="N82" s="41"/>
      <c r="O82" s="41"/>
      <c r="P82" s="41"/>
      <c r="Q82" s="57"/>
      <c r="R82" s="41"/>
      <c r="S82" s="57"/>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row>
    <row r="83" spans="1:50" ht="15" customHeight="1">
      <c r="A83" s="57"/>
      <c r="B83" s="112"/>
      <c r="C83" s="57"/>
      <c r="D83" s="57"/>
      <c r="E83" s="112"/>
      <c r="F83" s="112"/>
      <c r="G83" s="112"/>
      <c r="H83" s="112"/>
      <c r="I83" s="112"/>
      <c r="J83" s="41"/>
      <c r="K83" s="41"/>
      <c r="L83" s="41"/>
      <c r="M83" s="41"/>
      <c r="N83" s="41"/>
      <c r="O83" s="41"/>
      <c r="P83" s="41"/>
      <c r="Q83" s="112"/>
      <c r="R83" s="90"/>
      <c r="S83" s="57"/>
      <c r="T83" s="57"/>
      <c r="U83" s="57"/>
      <c r="V83" s="57"/>
      <c r="W83" s="57"/>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row>
    <row r="84" spans="1:50" ht="15" customHeight="1">
      <c r="A84" s="57"/>
      <c r="B84" s="112"/>
      <c r="C84" s="57"/>
      <c r="D84" s="57"/>
      <c r="E84" s="112"/>
      <c r="F84" s="112"/>
      <c r="G84" s="112"/>
      <c r="H84" s="112"/>
      <c r="I84" s="112"/>
      <c r="J84" s="41"/>
      <c r="K84" s="41"/>
      <c r="L84" s="41"/>
      <c r="M84" s="41"/>
      <c r="N84" s="41"/>
      <c r="O84" s="41"/>
      <c r="P84" s="41"/>
      <c r="Q84" s="57"/>
      <c r="R84" s="41"/>
      <c r="S84" s="57"/>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row>
    <row r="85" spans="1:50" ht="15" customHeight="1">
      <c r="A85" s="57"/>
      <c r="B85" s="112"/>
      <c r="C85" s="57"/>
      <c r="D85" s="57"/>
      <c r="E85" s="112"/>
      <c r="F85" s="112"/>
      <c r="G85" s="112"/>
      <c r="H85" s="112"/>
      <c r="I85" s="112"/>
      <c r="J85" s="41"/>
      <c r="K85" s="41"/>
      <c r="L85" s="41"/>
      <c r="M85" s="41"/>
      <c r="N85" s="41"/>
      <c r="O85" s="41"/>
      <c r="P85" s="41"/>
      <c r="Q85" s="57"/>
      <c r="R85" s="41"/>
      <c r="S85" s="57"/>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row>
    <row r="86" spans="1:50" ht="15" customHeight="1">
      <c r="A86" s="57"/>
      <c r="B86" s="112"/>
      <c r="C86" s="57"/>
      <c r="D86" s="57"/>
      <c r="E86" s="112"/>
      <c r="F86" s="112"/>
      <c r="G86" s="112"/>
      <c r="H86" s="112"/>
      <c r="I86" s="112"/>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row>
    <row r="87" spans="1:50" ht="15" customHeight="1">
      <c r="A87" s="57"/>
      <c r="B87" s="112"/>
      <c r="C87" s="57"/>
      <c r="D87" s="57"/>
      <c r="E87" s="112"/>
      <c r="F87" s="112"/>
      <c r="G87" s="112"/>
      <c r="H87" s="112"/>
      <c r="I87" s="112"/>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row>
    <row r="88" spans="1:50" ht="15" customHeight="1">
      <c r="A88" s="57"/>
      <c r="B88" s="112"/>
      <c r="C88" s="57"/>
      <c r="D88" s="57"/>
      <c r="E88" s="112"/>
      <c r="F88" s="112"/>
      <c r="G88" s="112"/>
      <c r="H88" s="112"/>
      <c r="I88" s="112"/>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row>
    <row r="89" spans="1:50" ht="15" customHeight="1">
      <c r="A89" s="128"/>
      <c r="B89" s="41"/>
      <c r="C89" s="41"/>
      <c r="D89" s="41"/>
      <c r="E89" s="129"/>
      <c r="F89" s="129"/>
      <c r="G89" s="129"/>
      <c r="H89" s="129"/>
      <c r="I89" s="129"/>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row>
    <row r="90" spans="1:50" ht="15" customHeight="1">
      <c r="A90" s="41"/>
      <c r="B90" s="41"/>
      <c r="C90" s="41"/>
      <c r="D90" s="41"/>
      <c r="E90" s="41"/>
      <c r="F90" s="41"/>
      <c r="G90" s="41"/>
      <c r="H90" s="57"/>
      <c r="I90" s="57"/>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row>
    <row r="91" spans="1:50" ht="15" customHeight="1">
      <c r="A91" s="46"/>
      <c r="B91" s="41"/>
      <c r="C91" s="41"/>
      <c r="D91" s="41"/>
      <c r="E91" s="41"/>
      <c r="F91" s="41"/>
      <c r="G91" s="41"/>
      <c r="H91" s="57"/>
      <c r="I91" s="57"/>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row>
    <row r="92" spans="1:50" ht="15" customHeight="1">
      <c r="A92" s="41"/>
      <c r="B92" s="41"/>
      <c r="C92" s="41"/>
      <c r="D92" s="41"/>
      <c r="E92" s="122"/>
      <c r="F92" s="41"/>
      <c r="G92" s="57"/>
      <c r="H92" s="57"/>
      <c r="I92" s="57"/>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row>
    <row r="93" spans="1:50" ht="15" customHeight="1">
      <c r="A93" s="41"/>
      <c r="B93" s="41"/>
      <c r="C93" s="41"/>
      <c r="D93" s="41"/>
      <c r="E93" s="57"/>
      <c r="F93" s="41"/>
      <c r="G93" s="57"/>
      <c r="H93" s="57"/>
      <c r="I93" s="57"/>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row>
    <row r="94" spans="1:50" ht="15" customHeight="1">
      <c r="A94" s="41"/>
      <c r="B94" s="41"/>
      <c r="C94" s="41"/>
      <c r="D94" s="41"/>
      <c r="E94" s="122"/>
      <c r="F94" s="41"/>
      <c r="G94" s="57"/>
      <c r="H94" s="57"/>
      <c r="I94" s="57"/>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row>
    <row r="95" spans="1:50" ht="15" customHeight="1">
      <c r="A95" s="41"/>
      <c r="B95" s="41"/>
      <c r="C95" s="41"/>
      <c r="D95" s="41"/>
      <c r="E95" s="122"/>
      <c r="F95" s="41"/>
      <c r="G95" s="57"/>
      <c r="H95" s="57"/>
      <c r="I95" s="57"/>
      <c r="J95" s="41"/>
      <c r="K95" s="41"/>
      <c r="L95" s="41"/>
      <c r="M95" s="41"/>
      <c r="N95" s="41"/>
      <c r="O95" s="41"/>
      <c r="P95" s="41"/>
      <c r="Q95" s="57"/>
      <c r="R95" s="41"/>
      <c r="S95" s="57"/>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row>
    <row r="96" spans="1:50" ht="15" customHeight="1">
      <c r="A96" s="41"/>
      <c r="B96" s="90"/>
      <c r="C96" s="41"/>
      <c r="D96" s="41"/>
      <c r="E96" s="57"/>
      <c r="F96" s="41"/>
      <c r="G96" s="41"/>
      <c r="H96" s="57"/>
      <c r="I96" s="57"/>
      <c r="J96" s="41"/>
      <c r="K96" s="93"/>
      <c r="L96" s="41"/>
      <c r="M96" s="41"/>
      <c r="N96" s="41"/>
      <c r="O96" s="41"/>
      <c r="P96" s="41"/>
      <c r="Q96" s="112"/>
      <c r="R96" s="41"/>
      <c r="S96" s="57"/>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row>
    <row r="97" spans="1:50" ht="15" customHeight="1">
      <c r="A97" s="41"/>
      <c r="B97" s="41"/>
      <c r="C97" s="41"/>
      <c r="D97" s="41"/>
      <c r="E97" s="122"/>
      <c r="F97" s="90"/>
      <c r="G97" s="122"/>
      <c r="H97" s="122"/>
      <c r="I97" s="57"/>
      <c r="J97" s="41"/>
      <c r="K97" s="41"/>
      <c r="L97" s="41"/>
      <c r="M97" s="41"/>
      <c r="N97" s="41"/>
      <c r="O97" s="41"/>
      <c r="P97" s="41"/>
      <c r="Q97" s="112"/>
      <c r="R97" s="41"/>
      <c r="S97" s="57"/>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row>
    <row r="98" spans="1:50" ht="15" customHeight="1">
      <c r="A98" s="41"/>
      <c r="B98" s="41"/>
      <c r="C98" s="41"/>
      <c r="D98" s="41"/>
      <c r="E98" s="122"/>
      <c r="F98" s="90"/>
      <c r="G98" s="122"/>
      <c r="H98" s="122"/>
      <c r="I98" s="57"/>
      <c r="J98" s="41"/>
      <c r="K98" s="41"/>
      <c r="L98" s="41"/>
      <c r="M98" s="41"/>
      <c r="N98" s="41"/>
      <c r="O98" s="41"/>
      <c r="P98" s="41"/>
      <c r="Q98" s="112"/>
      <c r="R98" s="41"/>
      <c r="S98" s="57"/>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row>
    <row r="99" spans="1:50" ht="16.5" customHeight="1">
      <c r="A99" s="46"/>
      <c r="B99" s="41"/>
      <c r="C99" s="41"/>
      <c r="D99" s="41"/>
      <c r="E99" s="41"/>
      <c r="F99" s="41"/>
      <c r="G99" s="41"/>
      <c r="H99" s="57"/>
      <c r="I99" s="57"/>
      <c r="J99" s="41"/>
      <c r="K99" s="41"/>
      <c r="L99" s="41"/>
      <c r="M99" s="41"/>
      <c r="N99" s="41"/>
      <c r="O99" s="41"/>
      <c r="P99" s="41"/>
      <c r="Q99" s="41"/>
      <c r="R99" s="41"/>
      <c r="S99" s="57"/>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row>
    <row r="100" spans="1:50" ht="16.5" customHeight="1">
      <c r="A100" s="41"/>
      <c r="B100" s="41"/>
      <c r="C100" s="41"/>
      <c r="D100" s="41"/>
      <c r="E100" s="122"/>
      <c r="F100" s="41"/>
      <c r="G100" s="57"/>
      <c r="H100" s="57"/>
      <c r="I100" s="57"/>
      <c r="J100" s="41"/>
      <c r="K100" s="41"/>
      <c r="L100" s="41"/>
      <c r="M100" s="41"/>
      <c r="N100" s="41"/>
      <c r="O100" s="41"/>
      <c r="P100" s="41"/>
      <c r="Q100" s="41"/>
      <c r="R100" s="41"/>
      <c r="S100" s="57"/>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row>
    <row r="101" spans="1:50" ht="16.5" customHeight="1">
      <c r="A101" s="41"/>
      <c r="B101" s="41"/>
      <c r="C101" s="41"/>
      <c r="D101" s="41"/>
      <c r="E101" s="57"/>
      <c r="F101" s="41"/>
      <c r="G101" s="57"/>
      <c r="H101" s="57"/>
      <c r="I101" s="57"/>
      <c r="J101" s="41"/>
      <c r="K101" s="41"/>
      <c r="L101" s="41"/>
      <c r="M101" s="41"/>
      <c r="N101" s="41"/>
      <c r="O101" s="41"/>
      <c r="P101" s="41"/>
      <c r="Q101" s="41"/>
      <c r="R101" s="41"/>
      <c r="S101" s="57"/>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row>
    <row r="102" spans="1:50" ht="16.5" customHeight="1">
      <c r="A102" s="41"/>
      <c r="B102" s="41"/>
      <c r="C102" s="41"/>
      <c r="D102" s="41"/>
      <c r="E102" s="122"/>
      <c r="F102" s="41"/>
      <c r="G102" s="57"/>
      <c r="H102" s="57"/>
      <c r="I102" s="57"/>
      <c r="J102" s="41"/>
      <c r="K102" s="41"/>
      <c r="L102" s="41"/>
      <c r="M102" s="41"/>
      <c r="N102" s="41"/>
      <c r="O102" s="41"/>
      <c r="P102" s="41"/>
      <c r="Q102" s="41"/>
      <c r="R102" s="41"/>
      <c r="S102" s="57"/>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row>
    <row r="103" spans="1:50" ht="16.5" customHeight="1">
      <c r="A103" s="41"/>
      <c r="B103" s="41"/>
      <c r="C103" s="41"/>
      <c r="D103" s="41"/>
      <c r="E103" s="122"/>
      <c r="F103" s="41"/>
      <c r="G103" s="57"/>
      <c r="H103" s="57"/>
      <c r="I103" s="57"/>
      <c r="J103" s="41"/>
      <c r="K103" s="41"/>
      <c r="L103" s="41"/>
      <c r="M103" s="41"/>
      <c r="N103" s="41"/>
      <c r="O103" s="41"/>
      <c r="P103" s="41"/>
      <c r="Q103" s="41"/>
      <c r="R103" s="41"/>
      <c r="S103" s="57"/>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row>
    <row r="104" spans="1:50" ht="16.5" customHeight="1">
      <c r="A104" s="41"/>
      <c r="B104" s="90"/>
      <c r="C104" s="41"/>
      <c r="D104" s="41"/>
      <c r="E104" s="57"/>
      <c r="F104" s="41"/>
      <c r="G104" s="41"/>
      <c r="H104" s="57"/>
      <c r="I104" s="57"/>
      <c r="J104" s="41"/>
      <c r="K104" s="41"/>
      <c r="L104" s="41"/>
      <c r="M104" s="41"/>
      <c r="N104" s="41"/>
      <c r="O104" s="41"/>
      <c r="P104" s="41"/>
      <c r="Q104" s="122"/>
      <c r="R104" s="41"/>
      <c r="S104" s="57"/>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row>
    <row r="105" spans="1:50" ht="16.5" customHeight="1">
      <c r="A105" s="41"/>
      <c r="B105" s="41"/>
      <c r="C105" s="41"/>
      <c r="D105" s="41"/>
      <c r="E105" s="122"/>
      <c r="F105" s="90"/>
      <c r="G105" s="122"/>
      <c r="H105" s="122"/>
      <c r="I105" s="57"/>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row>
    <row r="106" spans="1:50" ht="16.5" customHeight="1">
      <c r="A106" s="41"/>
      <c r="B106" s="41"/>
      <c r="C106" s="41"/>
      <c r="D106" s="41"/>
      <c r="E106" s="122"/>
      <c r="F106" s="90"/>
      <c r="G106" s="122"/>
      <c r="H106" s="122"/>
      <c r="I106" s="57"/>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row>
    <row r="107" spans="1:50" ht="21" customHeight="1">
      <c r="A107" s="41"/>
      <c r="B107" s="41"/>
      <c r="C107" s="41"/>
      <c r="D107" s="41"/>
      <c r="E107" s="41"/>
      <c r="F107" s="41"/>
      <c r="G107" s="41"/>
      <c r="H107" s="57"/>
      <c r="I107" s="57"/>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row>
    <row r="108" spans="1:50" ht="21" customHeight="1">
      <c r="A108" s="41"/>
      <c r="B108" s="41"/>
      <c r="C108" s="41"/>
      <c r="D108" s="41"/>
      <c r="E108" s="41"/>
      <c r="F108" s="41"/>
      <c r="G108" s="41"/>
      <c r="H108" s="57"/>
      <c r="I108" s="57"/>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row>
    <row r="109" spans="1:50" ht="21" customHeight="1">
      <c r="A109" s="41"/>
      <c r="B109" s="41"/>
      <c r="C109" s="41"/>
      <c r="D109" s="41"/>
      <c r="E109" s="41"/>
      <c r="F109" s="41"/>
      <c r="G109" s="41"/>
      <c r="H109" s="57"/>
      <c r="I109" s="57"/>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row>
    <row r="110" spans="1:50" ht="21" customHeight="1">
      <c r="A110" s="41"/>
      <c r="B110" s="41"/>
      <c r="C110" s="41"/>
      <c r="D110" s="41"/>
      <c r="E110" s="41"/>
      <c r="F110" s="41"/>
      <c r="G110" s="41"/>
      <c r="H110" s="57"/>
      <c r="I110" s="57"/>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row>
    <row r="111" spans="1:50" ht="21" customHeight="1">
      <c r="A111" s="41"/>
      <c r="B111" s="41"/>
      <c r="C111" s="41"/>
      <c r="D111" s="41"/>
      <c r="E111" s="41"/>
      <c r="F111" s="41"/>
      <c r="G111" s="41"/>
      <c r="H111" s="57"/>
      <c r="I111" s="57"/>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row>
    <row r="112" spans="1:50" ht="21" customHeight="1">
      <c r="A112" s="41"/>
      <c r="B112" s="41"/>
      <c r="C112" s="41"/>
      <c r="D112" s="41"/>
      <c r="E112" s="41"/>
      <c r="F112" s="41"/>
      <c r="G112" s="41"/>
      <c r="H112" s="57"/>
      <c r="I112" s="57"/>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row>
    <row r="113" spans="1:50" ht="21" customHeight="1">
      <c r="A113" s="41"/>
      <c r="B113" s="41"/>
      <c r="C113" s="41"/>
      <c r="D113" s="41"/>
      <c r="E113" s="41"/>
      <c r="F113" s="41"/>
      <c r="G113" s="41"/>
      <c r="H113" s="57"/>
      <c r="I113" s="57"/>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row>
    <row r="114" spans="1:50" ht="21" customHeight="1">
      <c r="A114" s="41"/>
      <c r="B114" s="41"/>
      <c r="C114" s="41"/>
      <c r="D114" s="41"/>
      <c r="E114" s="41"/>
      <c r="F114" s="41"/>
      <c r="G114" s="41"/>
      <c r="H114" s="57"/>
      <c r="I114" s="57"/>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row>
    <row r="115" spans="1:50" ht="21" customHeight="1">
      <c r="A115" s="41"/>
      <c r="B115" s="41"/>
      <c r="C115" s="41"/>
      <c r="D115" s="41"/>
      <c r="E115" s="41"/>
      <c r="F115" s="41"/>
      <c r="G115" s="41"/>
      <c r="H115" s="57"/>
      <c r="I115" s="57"/>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row>
    <row r="116" spans="1:50" ht="21" customHeight="1">
      <c r="A116" s="41"/>
      <c r="B116" s="41"/>
      <c r="C116" s="41"/>
      <c r="D116" s="41"/>
      <c r="E116" s="41"/>
      <c r="F116" s="41"/>
      <c r="G116" s="41"/>
      <c r="H116" s="57"/>
      <c r="I116" s="57"/>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row>
    <row r="117" spans="1:50" ht="21" customHeight="1">
      <c r="A117" s="41"/>
      <c r="B117" s="41"/>
      <c r="C117" s="41"/>
      <c r="D117" s="41"/>
      <c r="E117" s="41"/>
      <c r="F117" s="41"/>
      <c r="G117" s="41"/>
      <c r="H117" s="57"/>
      <c r="I117" s="57"/>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row>
    <row r="118" spans="1:50" ht="21" customHeight="1">
      <c r="A118" s="41"/>
      <c r="B118" s="41"/>
      <c r="C118" s="41"/>
      <c r="D118" s="41"/>
      <c r="E118" s="41"/>
      <c r="F118" s="41"/>
      <c r="G118" s="41"/>
      <c r="H118" s="57"/>
      <c r="I118" s="57"/>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row>
    <row r="119" spans="1:50" ht="21" customHeight="1">
      <c r="A119" s="41"/>
      <c r="B119" s="41"/>
      <c r="C119" s="41"/>
      <c r="D119" s="41"/>
      <c r="E119" s="41"/>
      <c r="F119" s="41"/>
      <c r="G119" s="41"/>
      <c r="H119" s="57"/>
      <c r="I119" s="57"/>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row>
    <row r="120" spans="1:50" ht="21" customHeight="1">
      <c r="A120" s="41"/>
      <c r="B120" s="41"/>
      <c r="C120" s="41"/>
      <c r="D120" s="41"/>
      <c r="E120" s="41"/>
      <c r="F120" s="41"/>
      <c r="G120" s="41"/>
      <c r="H120" s="57"/>
      <c r="I120" s="57"/>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row>
    <row r="121" spans="1:50" ht="21" customHeight="1">
      <c r="A121" s="41"/>
      <c r="B121" s="41"/>
      <c r="C121" s="41"/>
      <c r="D121" s="41"/>
      <c r="E121" s="41"/>
      <c r="F121" s="41"/>
      <c r="G121" s="41"/>
      <c r="H121" s="57"/>
      <c r="I121" s="57"/>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row>
    <row r="122" spans="1:50" ht="21" customHeight="1">
      <c r="A122" s="41"/>
      <c r="B122" s="41"/>
      <c r="C122" s="41"/>
      <c r="D122" s="41"/>
      <c r="E122" s="41"/>
      <c r="F122" s="41"/>
      <c r="G122" s="41"/>
      <c r="H122" s="57"/>
      <c r="I122" s="57"/>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row>
    <row r="123" spans="1:50" ht="21" customHeight="1">
      <c r="A123" s="41"/>
      <c r="B123" s="41"/>
      <c r="C123" s="41"/>
      <c r="D123" s="41"/>
      <c r="E123" s="41"/>
      <c r="F123" s="41"/>
      <c r="G123" s="41"/>
      <c r="H123" s="57"/>
      <c r="I123" s="57"/>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row>
  </sheetData>
  <mergeCells count="24">
    <mergeCell ref="L40:S44"/>
    <mergeCell ref="L45:S47"/>
    <mergeCell ref="V6:W6"/>
    <mergeCell ref="A19:C19"/>
    <mergeCell ref="A20:C20"/>
    <mergeCell ref="A21:C21"/>
    <mergeCell ref="A32:C33"/>
    <mergeCell ref="E32:E33"/>
    <mergeCell ref="F32:F33"/>
    <mergeCell ref="H32:H33"/>
    <mergeCell ref="I32:I33"/>
    <mergeCell ref="Q6:T6"/>
    <mergeCell ref="H3:I3"/>
    <mergeCell ref="J4:P4"/>
    <mergeCell ref="K5:P5"/>
    <mergeCell ref="J6:M6"/>
    <mergeCell ref="O6:P6"/>
    <mergeCell ref="A1:T1"/>
    <mergeCell ref="B2:D2"/>
    <mergeCell ref="E2:F2"/>
    <mergeCell ref="G2:I2"/>
    <mergeCell ref="J2:K2"/>
    <mergeCell ref="L2:Q2"/>
    <mergeCell ref="S2:T2"/>
  </mergeCells>
  <hyperlinks>
    <hyperlink ref="L45"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13" workbookViewId="0">
      <selection activeCell="M9" sqref="M9"/>
    </sheetView>
  </sheetViews>
  <sheetFormatPr defaultRowHeight="12.75"/>
  <cols>
    <col min="1" max="1" width="8.6640625" style="215"/>
    <col min="2" max="2" width="4.25" style="215" customWidth="1"/>
    <col min="3" max="3" width="0.9140625" style="215" customWidth="1"/>
    <col min="4" max="4" width="5.08203125" style="215" customWidth="1"/>
    <col min="5" max="5" width="4.5" style="215" customWidth="1"/>
    <col min="6" max="6" width="4.4140625" style="215" customWidth="1"/>
    <col min="7" max="7" width="8.6640625" style="215"/>
    <col min="8" max="8" width="4.4140625" style="215" customWidth="1"/>
    <col min="9" max="9" width="4.08203125" style="215" customWidth="1"/>
    <col min="10" max="10" width="4.58203125" style="215" customWidth="1"/>
    <col min="11" max="11" width="5.1640625" style="215" customWidth="1"/>
    <col min="12" max="12" width="5.75" style="215" customWidth="1"/>
    <col min="13" max="13" width="6.25" style="215" customWidth="1"/>
    <col min="14" max="14" width="7.08203125" style="215" customWidth="1"/>
    <col min="15" max="15" width="3.08203125" style="215" customWidth="1"/>
    <col min="16" max="16" width="3.4140625" style="215" customWidth="1"/>
    <col min="17" max="257" width="8.6640625" style="215"/>
    <col min="258" max="258" width="4.25" style="215" customWidth="1"/>
    <col min="259" max="259" width="0.9140625" style="215" customWidth="1"/>
    <col min="260" max="260" width="5.08203125" style="215" customWidth="1"/>
    <col min="261" max="261" width="4.5" style="215" customWidth="1"/>
    <col min="262" max="262" width="4.4140625" style="215" customWidth="1"/>
    <col min="263" max="263" width="8.6640625" style="215"/>
    <col min="264" max="264" width="4.4140625" style="215" customWidth="1"/>
    <col min="265" max="265" width="4.08203125" style="215" customWidth="1"/>
    <col min="266" max="266" width="4.58203125" style="215" customWidth="1"/>
    <col min="267" max="267" width="5.1640625" style="215" customWidth="1"/>
    <col min="268" max="268" width="5.75" style="215" customWidth="1"/>
    <col min="269" max="269" width="6.25" style="215" customWidth="1"/>
    <col min="270" max="270" width="7.08203125" style="215" customWidth="1"/>
    <col min="271" max="271" width="3.08203125" style="215" customWidth="1"/>
    <col min="272" max="272" width="3.4140625" style="215" customWidth="1"/>
    <col min="273" max="513" width="8.6640625" style="215"/>
    <col min="514" max="514" width="4.25" style="215" customWidth="1"/>
    <col min="515" max="515" width="0.9140625" style="215" customWidth="1"/>
    <col min="516" max="516" width="5.08203125" style="215" customWidth="1"/>
    <col min="517" max="517" width="4.5" style="215" customWidth="1"/>
    <col min="518" max="518" width="4.4140625" style="215" customWidth="1"/>
    <col min="519" max="519" width="8.6640625" style="215"/>
    <col min="520" max="520" width="4.4140625" style="215" customWidth="1"/>
    <col min="521" max="521" width="4.08203125" style="215" customWidth="1"/>
    <col min="522" max="522" width="4.58203125" style="215" customWidth="1"/>
    <col min="523" max="523" width="5.1640625" style="215" customWidth="1"/>
    <col min="524" max="524" width="5.75" style="215" customWidth="1"/>
    <col min="525" max="525" width="6.25" style="215" customWidth="1"/>
    <col min="526" max="526" width="7.08203125" style="215" customWidth="1"/>
    <col min="527" max="527" width="3.08203125" style="215" customWidth="1"/>
    <col min="528" max="528" width="3.4140625" style="215" customWidth="1"/>
    <col min="529" max="769" width="8.6640625" style="215"/>
    <col min="770" max="770" width="4.25" style="215" customWidth="1"/>
    <col min="771" max="771" width="0.9140625" style="215" customWidth="1"/>
    <col min="772" max="772" width="5.08203125" style="215" customWidth="1"/>
    <col min="773" max="773" width="4.5" style="215" customWidth="1"/>
    <col min="774" max="774" width="4.4140625" style="215" customWidth="1"/>
    <col min="775" max="775" width="8.6640625" style="215"/>
    <col min="776" max="776" width="4.4140625" style="215" customWidth="1"/>
    <col min="777" max="777" width="4.08203125" style="215" customWidth="1"/>
    <col min="778" max="778" width="4.58203125" style="215" customWidth="1"/>
    <col min="779" max="779" width="5.1640625" style="215" customWidth="1"/>
    <col min="780" max="780" width="5.75" style="215" customWidth="1"/>
    <col min="781" max="781" width="6.25" style="215" customWidth="1"/>
    <col min="782" max="782" width="7.08203125" style="215" customWidth="1"/>
    <col min="783" max="783" width="3.08203125" style="215" customWidth="1"/>
    <col min="784" max="784" width="3.4140625" style="215" customWidth="1"/>
    <col min="785" max="1025" width="8.6640625" style="215"/>
    <col min="1026" max="1026" width="4.25" style="215" customWidth="1"/>
    <col min="1027" max="1027" width="0.9140625" style="215" customWidth="1"/>
    <col min="1028" max="1028" width="5.08203125" style="215" customWidth="1"/>
    <col min="1029" max="1029" width="4.5" style="215" customWidth="1"/>
    <col min="1030" max="1030" width="4.4140625" style="215" customWidth="1"/>
    <col min="1031" max="1031" width="8.6640625" style="215"/>
    <col min="1032" max="1032" width="4.4140625" style="215" customWidth="1"/>
    <col min="1033" max="1033" width="4.08203125" style="215" customWidth="1"/>
    <col min="1034" max="1034" width="4.58203125" style="215" customWidth="1"/>
    <col min="1035" max="1035" width="5.1640625" style="215" customWidth="1"/>
    <col min="1036" max="1036" width="5.75" style="215" customWidth="1"/>
    <col min="1037" max="1037" width="6.25" style="215" customWidth="1"/>
    <col min="1038" max="1038" width="7.08203125" style="215" customWidth="1"/>
    <col min="1039" max="1039" width="3.08203125" style="215" customWidth="1"/>
    <col min="1040" max="1040" width="3.4140625" style="215" customWidth="1"/>
    <col min="1041" max="1281" width="8.6640625" style="215"/>
    <col min="1282" max="1282" width="4.25" style="215" customWidth="1"/>
    <col min="1283" max="1283" width="0.9140625" style="215" customWidth="1"/>
    <col min="1284" max="1284" width="5.08203125" style="215" customWidth="1"/>
    <col min="1285" max="1285" width="4.5" style="215" customWidth="1"/>
    <col min="1286" max="1286" width="4.4140625" style="215" customWidth="1"/>
    <col min="1287" max="1287" width="8.6640625" style="215"/>
    <col min="1288" max="1288" width="4.4140625" style="215" customWidth="1"/>
    <col min="1289" max="1289" width="4.08203125" style="215" customWidth="1"/>
    <col min="1290" max="1290" width="4.58203125" style="215" customWidth="1"/>
    <col min="1291" max="1291" width="5.1640625" style="215" customWidth="1"/>
    <col min="1292" max="1292" width="5.75" style="215" customWidth="1"/>
    <col min="1293" max="1293" width="6.25" style="215" customWidth="1"/>
    <col min="1294" max="1294" width="7.08203125" style="215" customWidth="1"/>
    <col min="1295" max="1295" width="3.08203125" style="215" customWidth="1"/>
    <col min="1296" max="1296" width="3.4140625" style="215" customWidth="1"/>
    <col min="1297" max="1537" width="8.6640625" style="215"/>
    <col min="1538" max="1538" width="4.25" style="215" customWidth="1"/>
    <col min="1539" max="1539" width="0.9140625" style="215" customWidth="1"/>
    <col min="1540" max="1540" width="5.08203125" style="215" customWidth="1"/>
    <col min="1541" max="1541" width="4.5" style="215" customWidth="1"/>
    <col min="1542" max="1542" width="4.4140625" style="215" customWidth="1"/>
    <col min="1543" max="1543" width="8.6640625" style="215"/>
    <col min="1544" max="1544" width="4.4140625" style="215" customWidth="1"/>
    <col min="1545" max="1545" width="4.08203125" style="215" customWidth="1"/>
    <col min="1546" max="1546" width="4.58203125" style="215" customWidth="1"/>
    <col min="1547" max="1547" width="5.1640625" style="215" customWidth="1"/>
    <col min="1548" max="1548" width="5.75" style="215" customWidth="1"/>
    <col min="1549" max="1549" width="6.25" style="215" customWidth="1"/>
    <col min="1550" max="1550" width="7.08203125" style="215" customWidth="1"/>
    <col min="1551" max="1551" width="3.08203125" style="215" customWidth="1"/>
    <col min="1552" max="1552" width="3.4140625" style="215" customWidth="1"/>
    <col min="1553" max="1793" width="8.6640625" style="215"/>
    <col min="1794" max="1794" width="4.25" style="215" customWidth="1"/>
    <col min="1795" max="1795" width="0.9140625" style="215" customWidth="1"/>
    <col min="1796" max="1796" width="5.08203125" style="215" customWidth="1"/>
    <col min="1797" max="1797" width="4.5" style="215" customWidth="1"/>
    <col min="1798" max="1798" width="4.4140625" style="215" customWidth="1"/>
    <col min="1799" max="1799" width="8.6640625" style="215"/>
    <col min="1800" max="1800" width="4.4140625" style="215" customWidth="1"/>
    <col min="1801" max="1801" width="4.08203125" style="215" customWidth="1"/>
    <col min="1802" max="1802" width="4.58203125" style="215" customWidth="1"/>
    <col min="1803" max="1803" width="5.1640625" style="215" customWidth="1"/>
    <col min="1804" max="1804" width="5.75" style="215" customWidth="1"/>
    <col min="1805" max="1805" width="6.25" style="215" customWidth="1"/>
    <col min="1806" max="1806" width="7.08203125" style="215" customWidth="1"/>
    <col min="1807" max="1807" width="3.08203125" style="215" customWidth="1"/>
    <col min="1808" max="1808" width="3.4140625" style="215" customWidth="1"/>
    <col min="1809" max="2049" width="8.6640625" style="215"/>
    <col min="2050" max="2050" width="4.25" style="215" customWidth="1"/>
    <col min="2051" max="2051" width="0.9140625" style="215" customWidth="1"/>
    <col min="2052" max="2052" width="5.08203125" style="215" customWidth="1"/>
    <col min="2053" max="2053" width="4.5" style="215" customWidth="1"/>
    <col min="2054" max="2054" width="4.4140625" style="215" customWidth="1"/>
    <col min="2055" max="2055" width="8.6640625" style="215"/>
    <col min="2056" max="2056" width="4.4140625" style="215" customWidth="1"/>
    <col min="2057" max="2057" width="4.08203125" style="215" customWidth="1"/>
    <col min="2058" max="2058" width="4.58203125" style="215" customWidth="1"/>
    <col min="2059" max="2059" width="5.1640625" style="215" customWidth="1"/>
    <col min="2060" max="2060" width="5.75" style="215" customWidth="1"/>
    <col min="2061" max="2061" width="6.25" style="215" customWidth="1"/>
    <col min="2062" max="2062" width="7.08203125" style="215" customWidth="1"/>
    <col min="2063" max="2063" width="3.08203125" style="215" customWidth="1"/>
    <col min="2064" max="2064" width="3.4140625" style="215" customWidth="1"/>
    <col min="2065" max="2305" width="8.6640625" style="215"/>
    <col min="2306" max="2306" width="4.25" style="215" customWidth="1"/>
    <col min="2307" max="2307" width="0.9140625" style="215" customWidth="1"/>
    <col min="2308" max="2308" width="5.08203125" style="215" customWidth="1"/>
    <col min="2309" max="2309" width="4.5" style="215" customWidth="1"/>
    <col min="2310" max="2310" width="4.4140625" style="215" customWidth="1"/>
    <col min="2311" max="2311" width="8.6640625" style="215"/>
    <col min="2312" max="2312" width="4.4140625" style="215" customWidth="1"/>
    <col min="2313" max="2313" width="4.08203125" style="215" customWidth="1"/>
    <col min="2314" max="2314" width="4.58203125" style="215" customWidth="1"/>
    <col min="2315" max="2315" width="5.1640625" style="215" customWidth="1"/>
    <col min="2316" max="2316" width="5.75" style="215" customWidth="1"/>
    <col min="2317" max="2317" width="6.25" style="215" customWidth="1"/>
    <col min="2318" max="2318" width="7.08203125" style="215" customWidth="1"/>
    <col min="2319" max="2319" width="3.08203125" style="215" customWidth="1"/>
    <col min="2320" max="2320" width="3.4140625" style="215" customWidth="1"/>
    <col min="2321" max="2561" width="8.6640625" style="215"/>
    <col min="2562" max="2562" width="4.25" style="215" customWidth="1"/>
    <col min="2563" max="2563" width="0.9140625" style="215" customWidth="1"/>
    <col min="2564" max="2564" width="5.08203125" style="215" customWidth="1"/>
    <col min="2565" max="2565" width="4.5" style="215" customWidth="1"/>
    <col min="2566" max="2566" width="4.4140625" style="215" customWidth="1"/>
    <col min="2567" max="2567" width="8.6640625" style="215"/>
    <col min="2568" max="2568" width="4.4140625" style="215" customWidth="1"/>
    <col min="2569" max="2569" width="4.08203125" style="215" customWidth="1"/>
    <col min="2570" max="2570" width="4.58203125" style="215" customWidth="1"/>
    <col min="2571" max="2571" width="5.1640625" style="215" customWidth="1"/>
    <col min="2572" max="2572" width="5.75" style="215" customWidth="1"/>
    <col min="2573" max="2573" width="6.25" style="215" customWidth="1"/>
    <col min="2574" max="2574" width="7.08203125" style="215" customWidth="1"/>
    <col min="2575" max="2575" width="3.08203125" style="215" customWidth="1"/>
    <col min="2576" max="2576" width="3.4140625" style="215" customWidth="1"/>
    <col min="2577" max="2817" width="8.6640625" style="215"/>
    <col min="2818" max="2818" width="4.25" style="215" customWidth="1"/>
    <col min="2819" max="2819" width="0.9140625" style="215" customWidth="1"/>
    <col min="2820" max="2820" width="5.08203125" style="215" customWidth="1"/>
    <col min="2821" max="2821" width="4.5" style="215" customWidth="1"/>
    <col min="2822" max="2822" width="4.4140625" style="215" customWidth="1"/>
    <col min="2823" max="2823" width="8.6640625" style="215"/>
    <col min="2824" max="2824" width="4.4140625" style="215" customWidth="1"/>
    <col min="2825" max="2825" width="4.08203125" style="215" customWidth="1"/>
    <col min="2826" max="2826" width="4.58203125" style="215" customWidth="1"/>
    <col min="2827" max="2827" width="5.1640625" style="215" customWidth="1"/>
    <col min="2828" max="2828" width="5.75" style="215" customWidth="1"/>
    <col min="2829" max="2829" width="6.25" style="215" customWidth="1"/>
    <col min="2830" max="2830" width="7.08203125" style="215" customWidth="1"/>
    <col min="2831" max="2831" width="3.08203125" style="215" customWidth="1"/>
    <col min="2832" max="2832" width="3.4140625" style="215" customWidth="1"/>
    <col min="2833" max="3073" width="8.6640625" style="215"/>
    <col min="3074" max="3074" width="4.25" style="215" customWidth="1"/>
    <col min="3075" max="3075" width="0.9140625" style="215" customWidth="1"/>
    <col min="3076" max="3076" width="5.08203125" style="215" customWidth="1"/>
    <col min="3077" max="3077" width="4.5" style="215" customWidth="1"/>
    <col min="3078" max="3078" width="4.4140625" style="215" customWidth="1"/>
    <col min="3079" max="3079" width="8.6640625" style="215"/>
    <col min="3080" max="3080" width="4.4140625" style="215" customWidth="1"/>
    <col min="3081" max="3081" width="4.08203125" style="215" customWidth="1"/>
    <col min="3082" max="3082" width="4.58203125" style="215" customWidth="1"/>
    <col min="3083" max="3083" width="5.1640625" style="215" customWidth="1"/>
    <col min="3084" max="3084" width="5.75" style="215" customWidth="1"/>
    <col min="3085" max="3085" width="6.25" style="215" customWidth="1"/>
    <col min="3086" max="3086" width="7.08203125" style="215" customWidth="1"/>
    <col min="3087" max="3087" width="3.08203125" style="215" customWidth="1"/>
    <col min="3088" max="3088" width="3.4140625" style="215" customWidth="1"/>
    <col min="3089" max="3329" width="8.6640625" style="215"/>
    <col min="3330" max="3330" width="4.25" style="215" customWidth="1"/>
    <col min="3331" max="3331" width="0.9140625" style="215" customWidth="1"/>
    <col min="3332" max="3332" width="5.08203125" style="215" customWidth="1"/>
    <col min="3333" max="3333" width="4.5" style="215" customWidth="1"/>
    <col min="3334" max="3334" width="4.4140625" style="215" customWidth="1"/>
    <col min="3335" max="3335" width="8.6640625" style="215"/>
    <col min="3336" max="3336" width="4.4140625" style="215" customWidth="1"/>
    <col min="3337" max="3337" width="4.08203125" style="215" customWidth="1"/>
    <col min="3338" max="3338" width="4.58203125" style="215" customWidth="1"/>
    <col min="3339" max="3339" width="5.1640625" style="215" customWidth="1"/>
    <col min="3340" max="3340" width="5.75" style="215" customWidth="1"/>
    <col min="3341" max="3341" width="6.25" style="215" customWidth="1"/>
    <col min="3342" max="3342" width="7.08203125" style="215" customWidth="1"/>
    <col min="3343" max="3343" width="3.08203125" style="215" customWidth="1"/>
    <col min="3344" max="3344" width="3.4140625" style="215" customWidth="1"/>
    <col min="3345" max="3585" width="8.6640625" style="215"/>
    <col min="3586" max="3586" width="4.25" style="215" customWidth="1"/>
    <col min="3587" max="3587" width="0.9140625" style="215" customWidth="1"/>
    <col min="3588" max="3588" width="5.08203125" style="215" customWidth="1"/>
    <col min="3589" max="3589" width="4.5" style="215" customWidth="1"/>
    <col min="3590" max="3590" width="4.4140625" style="215" customWidth="1"/>
    <col min="3591" max="3591" width="8.6640625" style="215"/>
    <col min="3592" max="3592" width="4.4140625" style="215" customWidth="1"/>
    <col min="3593" max="3593" width="4.08203125" style="215" customWidth="1"/>
    <col min="3594" max="3594" width="4.58203125" style="215" customWidth="1"/>
    <col min="3595" max="3595" width="5.1640625" style="215" customWidth="1"/>
    <col min="3596" max="3596" width="5.75" style="215" customWidth="1"/>
    <col min="3597" max="3597" width="6.25" style="215" customWidth="1"/>
    <col min="3598" max="3598" width="7.08203125" style="215" customWidth="1"/>
    <col min="3599" max="3599" width="3.08203125" style="215" customWidth="1"/>
    <col min="3600" max="3600" width="3.4140625" style="215" customWidth="1"/>
    <col min="3601" max="3841" width="8.6640625" style="215"/>
    <col min="3842" max="3842" width="4.25" style="215" customWidth="1"/>
    <col min="3843" max="3843" width="0.9140625" style="215" customWidth="1"/>
    <col min="3844" max="3844" width="5.08203125" style="215" customWidth="1"/>
    <col min="3845" max="3845" width="4.5" style="215" customWidth="1"/>
    <col min="3846" max="3846" width="4.4140625" style="215" customWidth="1"/>
    <col min="3847" max="3847" width="8.6640625" style="215"/>
    <col min="3848" max="3848" width="4.4140625" style="215" customWidth="1"/>
    <col min="3849" max="3849" width="4.08203125" style="215" customWidth="1"/>
    <col min="3850" max="3850" width="4.58203125" style="215" customWidth="1"/>
    <col min="3851" max="3851" width="5.1640625" style="215" customWidth="1"/>
    <col min="3852" max="3852" width="5.75" style="215" customWidth="1"/>
    <col min="3853" max="3853" width="6.25" style="215" customWidth="1"/>
    <col min="3854" max="3854" width="7.08203125" style="215" customWidth="1"/>
    <col min="3855" max="3855" width="3.08203125" style="215" customWidth="1"/>
    <col min="3856" max="3856" width="3.4140625" style="215" customWidth="1"/>
    <col min="3857" max="4097" width="8.6640625" style="215"/>
    <col min="4098" max="4098" width="4.25" style="215" customWidth="1"/>
    <col min="4099" max="4099" width="0.9140625" style="215" customWidth="1"/>
    <col min="4100" max="4100" width="5.08203125" style="215" customWidth="1"/>
    <col min="4101" max="4101" width="4.5" style="215" customWidth="1"/>
    <col min="4102" max="4102" width="4.4140625" style="215" customWidth="1"/>
    <col min="4103" max="4103" width="8.6640625" style="215"/>
    <col min="4104" max="4104" width="4.4140625" style="215" customWidth="1"/>
    <col min="4105" max="4105" width="4.08203125" style="215" customWidth="1"/>
    <col min="4106" max="4106" width="4.58203125" style="215" customWidth="1"/>
    <col min="4107" max="4107" width="5.1640625" style="215" customWidth="1"/>
    <col min="4108" max="4108" width="5.75" style="215" customWidth="1"/>
    <col min="4109" max="4109" width="6.25" style="215" customWidth="1"/>
    <col min="4110" max="4110" width="7.08203125" style="215" customWidth="1"/>
    <col min="4111" max="4111" width="3.08203125" style="215" customWidth="1"/>
    <col min="4112" max="4112" width="3.4140625" style="215" customWidth="1"/>
    <col min="4113" max="4353" width="8.6640625" style="215"/>
    <col min="4354" max="4354" width="4.25" style="215" customWidth="1"/>
    <col min="4355" max="4355" width="0.9140625" style="215" customWidth="1"/>
    <col min="4356" max="4356" width="5.08203125" style="215" customWidth="1"/>
    <col min="4357" max="4357" width="4.5" style="215" customWidth="1"/>
    <col min="4358" max="4358" width="4.4140625" style="215" customWidth="1"/>
    <col min="4359" max="4359" width="8.6640625" style="215"/>
    <col min="4360" max="4360" width="4.4140625" style="215" customWidth="1"/>
    <col min="4361" max="4361" width="4.08203125" style="215" customWidth="1"/>
    <col min="4362" max="4362" width="4.58203125" style="215" customWidth="1"/>
    <col min="4363" max="4363" width="5.1640625" style="215" customWidth="1"/>
    <col min="4364" max="4364" width="5.75" style="215" customWidth="1"/>
    <col min="4365" max="4365" width="6.25" style="215" customWidth="1"/>
    <col min="4366" max="4366" width="7.08203125" style="215" customWidth="1"/>
    <col min="4367" max="4367" width="3.08203125" style="215" customWidth="1"/>
    <col min="4368" max="4368" width="3.4140625" style="215" customWidth="1"/>
    <col min="4369" max="4609" width="8.6640625" style="215"/>
    <col min="4610" max="4610" width="4.25" style="215" customWidth="1"/>
    <col min="4611" max="4611" width="0.9140625" style="215" customWidth="1"/>
    <col min="4612" max="4612" width="5.08203125" style="215" customWidth="1"/>
    <col min="4613" max="4613" width="4.5" style="215" customWidth="1"/>
    <col min="4614" max="4614" width="4.4140625" style="215" customWidth="1"/>
    <col min="4615" max="4615" width="8.6640625" style="215"/>
    <col min="4616" max="4616" width="4.4140625" style="215" customWidth="1"/>
    <col min="4617" max="4617" width="4.08203125" style="215" customWidth="1"/>
    <col min="4618" max="4618" width="4.58203125" style="215" customWidth="1"/>
    <col min="4619" max="4619" width="5.1640625" style="215" customWidth="1"/>
    <col min="4620" max="4620" width="5.75" style="215" customWidth="1"/>
    <col min="4621" max="4621" width="6.25" style="215" customWidth="1"/>
    <col min="4622" max="4622" width="7.08203125" style="215" customWidth="1"/>
    <col min="4623" max="4623" width="3.08203125" style="215" customWidth="1"/>
    <col min="4624" max="4624" width="3.4140625" style="215" customWidth="1"/>
    <col min="4625" max="4865" width="8.6640625" style="215"/>
    <col min="4866" max="4866" width="4.25" style="215" customWidth="1"/>
    <col min="4867" max="4867" width="0.9140625" style="215" customWidth="1"/>
    <col min="4868" max="4868" width="5.08203125" style="215" customWidth="1"/>
    <col min="4869" max="4869" width="4.5" style="215" customWidth="1"/>
    <col min="4870" max="4870" width="4.4140625" style="215" customWidth="1"/>
    <col min="4871" max="4871" width="8.6640625" style="215"/>
    <col min="4872" max="4872" width="4.4140625" style="215" customWidth="1"/>
    <col min="4873" max="4873" width="4.08203125" style="215" customWidth="1"/>
    <col min="4874" max="4874" width="4.58203125" style="215" customWidth="1"/>
    <col min="4875" max="4875" width="5.1640625" style="215" customWidth="1"/>
    <col min="4876" max="4876" width="5.75" style="215" customWidth="1"/>
    <col min="4877" max="4877" width="6.25" style="215" customWidth="1"/>
    <col min="4878" max="4878" width="7.08203125" style="215" customWidth="1"/>
    <col min="4879" max="4879" width="3.08203125" style="215" customWidth="1"/>
    <col min="4880" max="4880" width="3.4140625" style="215" customWidth="1"/>
    <col min="4881" max="5121" width="8.6640625" style="215"/>
    <col min="5122" max="5122" width="4.25" style="215" customWidth="1"/>
    <col min="5123" max="5123" width="0.9140625" style="215" customWidth="1"/>
    <col min="5124" max="5124" width="5.08203125" style="215" customWidth="1"/>
    <col min="5125" max="5125" width="4.5" style="215" customWidth="1"/>
    <col min="5126" max="5126" width="4.4140625" style="215" customWidth="1"/>
    <col min="5127" max="5127" width="8.6640625" style="215"/>
    <col min="5128" max="5128" width="4.4140625" style="215" customWidth="1"/>
    <col min="5129" max="5129" width="4.08203125" style="215" customWidth="1"/>
    <col min="5130" max="5130" width="4.58203125" style="215" customWidth="1"/>
    <col min="5131" max="5131" width="5.1640625" style="215" customWidth="1"/>
    <col min="5132" max="5132" width="5.75" style="215" customWidth="1"/>
    <col min="5133" max="5133" width="6.25" style="215" customWidth="1"/>
    <col min="5134" max="5134" width="7.08203125" style="215" customWidth="1"/>
    <col min="5135" max="5135" width="3.08203125" style="215" customWidth="1"/>
    <col min="5136" max="5136" width="3.4140625" style="215" customWidth="1"/>
    <col min="5137" max="5377" width="8.6640625" style="215"/>
    <col min="5378" max="5378" width="4.25" style="215" customWidth="1"/>
    <col min="5379" max="5379" width="0.9140625" style="215" customWidth="1"/>
    <col min="5380" max="5380" width="5.08203125" style="215" customWidth="1"/>
    <col min="5381" max="5381" width="4.5" style="215" customWidth="1"/>
    <col min="5382" max="5382" width="4.4140625" style="215" customWidth="1"/>
    <col min="5383" max="5383" width="8.6640625" style="215"/>
    <col min="5384" max="5384" width="4.4140625" style="215" customWidth="1"/>
    <col min="5385" max="5385" width="4.08203125" style="215" customWidth="1"/>
    <col min="5386" max="5386" width="4.58203125" style="215" customWidth="1"/>
    <col min="5387" max="5387" width="5.1640625" style="215" customWidth="1"/>
    <col min="5388" max="5388" width="5.75" style="215" customWidth="1"/>
    <col min="5389" max="5389" width="6.25" style="215" customWidth="1"/>
    <col min="5390" max="5390" width="7.08203125" style="215" customWidth="1"/>
    <col min="5391" max="5391" width="3.08203125" style="215" customWidth="1"/>
    <col min="5392" max="5392" width="3.4140625" style="215" customWidth="1"/>
    <col min="5393" max="5633" width="8.6640625" style="215"/>
    <col min="5634" max="5634" width="4.25" style="215" customWidth="1"/>
    <col min="5635" max="5635" width="0.9140625" style="215" customWidth="1"/>
    <col min="5636" max="5636" width="5.08203125" style="215" customWidth="1"/>
    <col min="5637" max="5637" width="4.5" style="215" customWidth="1"/>
    <col min="5638" max="5638" width="4.4140625" style="215" customWidth="1"/>
    <col min="5639" max="5639" width="8.6640625" style="215"/>
    <col min="5640" max="5640" width="4.4140625" style="215" customWidth="1"/>
    <col min="5641" max="5641" width="4.08203125" style="215" customWidth="1"/>
    <col min="5642" max="5642" width="4.58203125" style="215" customWidth="1"/>
    <col min="5643" max="5643" width="5.1640625" style="215" customWidth="1"/>
    <col min="5644" max="5644" width="5.75" style="215" customWidth="1"/>
    <col min="5645" max="5645" width="6.25" style="215" customWidth="1"/>
    <col min="5646" max="5646" width="7.08203125" style="215" customWidth="1"/>
    <col min="5647" max="5647" width="3.08203125" style="215" customWidth="1"/>
    <col min="5648" max="5648" width="3.4140625" style="215" customWidth="1"/>
    <col min="5649" max="5889" width="8.6640625" style="215"/>
    <col min="5890" max="5890" width="4.25" style="215" customWidth="1"/>
    <col min="5891" max="5891" width="0.9140625" style="215" customWidth="1"/>
    <col min="5892" max="5892" width="5.08203125" style="215" customWidth="1"/>
    <col min="5893" max="5893" width="4.5" style="215" customWidth="1"/>
    <col min="5894" max="5894" width="4.4140625" style="215" customWidth="1"/>
    <col min="5895" max="5895" width="8.6640625" style="215"/>
    <col min="5896" max="5896" width="4.4140625" style="215" customWidth="1"/>
    <col min="5897" max="5897" width="4.08203125" style="215" customWidth="1"/>
    <col min="5898" max="5898" width="4.58203125" style="215" customWidth="1"/>
    <col min="5899" max="5899" width="5.1640625" style="215" customWidth="1"/>
    <col min="5900" max="5900" width="5.75" style="215" customWidth="1"/>
    <col min="5901" max="5901" width="6.25" style="215" customWidth="1"/>
    <col min="5902" max="5902" width="7.08203125" style="215" customWidth="1"/>
    <col min="5903" max="5903" width="3.08203125" style="215" customWidth="1"/>
    <col min="5904" max="5904" width="3.4140625" style="215" customWidth="1"/>
    <col min="5905" max="6145" width="8.6640625" style="215"/>
    <col min="6146" max="6146" width="4.25" style="215" customWidth="1"/>
    <col min="6147" max="6147" width="0.9140625" style="215" customWidth="1"/>
    <col min="6148" max="6148" width="5.08203125" style="215" customWidth="1"/>
    <col min="6149" max="6149" width="4.5" style="215" customWidth="1"/>
    <col min="6150" max="6150" width="4.4140625" style="215" customWidth="1"/>
    <col min="6151" max="6151" width="8.6640625" style="215"/>
    <col min="6152" max="6152" width="4.4140625" style="215" customWidth="1"/>
    <col min="6153" max="6153" width="4.08203125" style="215" customWidth="1"/>
    <col min="6154" max="6154" width="4.58203125" style="215" customWidth="1"/>
    <col min="6155" max="6155" width="5.1640625" style="215" customWidth="1"/>
    <col min="6156" max="6156" width="5.75" style="215" customWidth="1"/>
    <col min="6157" max="6157" width="6.25" style="215" customWidth="1"/>
    <col min="6158" max="6158" width="7.08203125" style="215" customWidth="1"/>
    <col min="6159" max="6159" width="3.08203125" style="215" customWidth="1"/>
    <col min="6160" max="6160" width="3.4140625" style="215" customWidth="1"/>
    <col min="6161" max="6401" width="8.6640625" style="215"/>
    <col min="6402" max="6402" width="4.25" style="215" customWidth="1"/>
    <col min="6403" max="6403" width="0.9140625" style="215" customWidth="1"/>
    <col min="6404" max="6404" width="5.08203125" style="215" customWidth="1"/>
    <col min="6405" max="6405" width="4.5" style="215" customWidth="1"/>
    <col min="6406" max="6406" width="4.4140625" style="215" customWidth="1"/>
    <col min="6407" max="6407" width="8.6640625" style="215"/>
    <col min="6408" max="6408" width="4.4140625" style="215" customWidth="1"/>
    <col min="6409" max="6409" width="4.08203125" style="215" customWidth="1"/>
    <col min="6410" max="6410" width="4.58203125" style="215" customWidth="1"/>
    <col min="6411" max="6411" width="5.1640625" style="215" customWidth="1"/>
    <col min="6412" max="6412" width="5.75" style="215" customWidth="1"/>
    <col min="6413" max="6413" width="6.25" style="215" customWidth="1"/>
    <col min="6414" max="6414" width="7.08203125" style="215" customWidth="1"/>
    <col min="6415" max="6415" width="3.08203125" style="215" customWidth="1"/>
    <col min="6416" max="6416" width="3.4140625" style="215" customWidth="1"/>
    <col min="6417" max="6657" width="8.6640625" style="215"/>
    <col min="6658" max="6658" width="4.25" style="215" customWidth="1"/>
    <col min="6659" max="6659" width="0.9140625" style="215" customWidth="1"/>
    <col min="6660" max="6660" width="5.08203125" style="215" customWidth="1"/>
    <col min="6661" max="6661" width="4.5" style="215" customWidth="1"/>
    <col min="6662" max="6662" width="4.4140625" style="215" customWidth="1"/>
    <col min="6663" max="6663" width="8.6640625" style="215"/>
    <col min="6664" max="6664" width="4.4140625" style="215" customWidth="1"/>
    <col min="6665" max="6665" width="4.08203125" style="215" customWidth="1"/>
    <col min="6666" max="6666" width="4.58203125" style="215" customWidth="1"/>
    <col min="6667" max="6667" width="5.1640625" style="215" customWidth="1"/>
    <col min="6668" max="6668" width="5.75" style="215" customWidth="1"/>
    <col min="6669" max="6669" width="6.25" style="215" customWidth="1"/>
    <col min="6670" max="6670" width="7.08203125" style="215" customWidth="1"/>
    <col min="6671" max="6671" width="3.08203125" style="215" customWidth="1"/>
    <col min="6672" max="6672" width="3.4140625" style="215" customWidth="1"/>
    <col min="6673" max="6913" width="8.6640625" style="215"/>
    <col min="6914" max="6914" width="4.25" style="215" customWidth="1"/>
    <col min="6915" max="6915" width="0.9140625" style="215" customWidth="1"/>
    <col min="6916" max="6916" width="5.08203125" style="215" customWidth="1"/>
    <col min="6917" max="6917" width="4.5" style="215" customWidth="1"/>
    <col min="6918" max="6918" width="4.4140625" style="215" customWidth="1"/>
    <col min="6919" max="6919" width="8.6640625" style="215"/>
    <col min="6920" max="6920" width="4.4140625" style="215" customWidth="1"/>
    <col min="6921" max="6921" width="4.08203125" style="215" customWidth="1"/>
    <col min="6922" max="6922" width="4.58203125" style="215" customWidth="1"/>
    <col min="6923" max="6923" width="5.1640625" style="215" customWidth="1"/>
    <col min="6924" max="6924" width="5.75" style="215" customWidth="1"/>
    <col min="6925" max="6925" width="6.25" style="215" customWidth="1"/>
    <col min="6926" max="6926" width="7.08203125" style="215" customWidth="1"/>
    <col min="6927" max="6927" width="3.08203125" style="215" customWidth="1"/>
    <col min="6928" max="6928" width="3.4140625" style="215" customWidth="1"/>
    <col min="6929" max="7169" width="8.6640625" style="215"/>
    <col min="7170" max="7170" width="4.25" style="215" customWidth="1"/>
    <col min="7171" max="7171" width="0.9140625" style="215" customWidth="1"/>
    <col min="7172" max="7172" width="5.08203125" style="215" customWidth="1"/>
    <col min="7173" max="7173" width="4.5" style="215" customWidth="1"/>
    <col min="7174" max="7174" width="4.4140625" style="215" customWidth="1"/>
    <col min="7175" max="7175" width="8.6640625" style="215"/>
    <col min="7176" max="7176" width="4.4140625" style="215" customWidth="1"/>
    <col min="7177" max="7177" width="4.08203125" style="215" customWidth="1"/>
    <col min="7178" max="7178" width="4.58203125" style="215" customWidth="1"/>
    <col min="7179" max="7179" width="5.1640625" style="215" customWidth="1"/>
    <col min="7180" max="7180" width="5.75" style="215" customWidth="1"/>
    <col min="7181" max="7181" width="6.25" style="215" customWidth="1"/>
    <col min="7182" max="7182" width="7.08203125" style="215" customWidth="1"/>
    <col min="7183" max="7183" width="3.08203125" style="215" customWidth="1"/>
    <col min="7184" max="7184" width="3.4140625" style="215" customWidth="1"/>
    <col min="7185" max="7425" width="8.6640625" style="215"/>
    <col min="7426" max="7426" width="4.25" style="215" customWidth="1"/>
    <col min="7427" max="7427" width="0.9140625" style="215" customWidth="1"/>
    <col min="7428" max="7428" width="5.08203125" style="215" customWidth="1"/>
    <col min="7429" max="7429" width="4.5" style="215" customWidth="1"/>
    <col min="7430" max="7430" width="4.4140625" style="215" customWidth="1"/>
    <col min="7431" max="7431" width="8.6640625" style="215"/>
    <col min="7432" max="7432" width="4.4140625" style="215" customWidth="1"/>
    <col min="7433" max="7433" width="4.08203125" style="215" customWidth="1"/>
    <col min="7434" max="7434" width="4.58203125" style="215" customWidth="1"/>
    <col min="7435" max="7435" width="5.1640625" style="215" customWidth="1"/>
    <col min="7436" max="7436" width="5.75" style="215" customWidth="1"/>
    <col min="7437" max="7437" width="6.25" style="215" customWidth="1"/>
    <col min="7438" max="7438" width="7.08203125" style="215" customWidth="1"/>
    <col min="7439" max="7439" width="3.08203125" style="215" customWidth="1"/>
    <col min="7440" max="7440" width="3.4140625" style="215" customWidth="1"/>
    <col min="7441" max="7681" width="8.6640625" style="215"/>
    <col min="7682" max="7682" width="4.25" style="215" customWidth="1"/>
    <col min="7683" max="7683" width="0.9140625" style="215" customWidth="1"/>
    <col min="7684" max="7684" width="5.08203125" style="215" customWidth="1"/>
    <col min="7685" max="7685" width="4.5" style="215" customWidth="1"/>
    <col min="7686" max="7686" width="4.4140625" style="215" customWidth="1"/>
    <col min="7687" max="7687" width="8.6640625" style="215"/>
    <col min="7688" max="7688" width="4.4140625" style="215" customWidth="1"/>
    <col min="7689" max="7689" width="4.08203125" style="215" customWidth="1"/>
    <col min="7690" max="7690" width="4.58203125" style="215" customWidth="1"/>
    <col min="7691" max="7691" width="5.1640625" style="215" customWidth="1"/>
    <col min="7692" max="7692" width="5.75" style="215" customWidth="1"/>
    <col min="7693" max="7693" width="6.25" style="215" customWidth="1"/>
    <col min="7694" max="7694" width="7.08203125" style="215" customWidth="1"/>
    <col min="7695" max="7695" width="3.08203125" style="215" customWidth="1"/>
    <col min="7696" max="7696" width="3.4140625" style="215" customWidth="1"/>
    <col min="7697" max="7937" width="8.6640625" style="215"/>
    <col min="7938" max="7938" width="4.25" style="215" customWidth="1"/>
    <col min="7939" max="7939" width="0.9140625" style="215" customWidth="1"/>
    <col min="7940" max="7940" width="5.08203125" style="215" customWidth="1"/>
    <col min="7941" max="7941" width="4.5" style="215" customWidth="1"/>
    <col min="7942" max="7942" width="4.4140625" style="215" customWidth="1"/>
    <col min="7943" max="7943" width="8.6640625" style="215"/>
    <col min="7944" max="7944" width="4.4140625" style="215" customWidth="1"/>
    <col min="7945" max="7945" width="4.08203125" style="215" customWidth="1"/>
    <col min="7946" max="7946" width="4.58203125" style="215" customWidth="1"/>
    <col min="7947" max="7947" width="5.1640625" style="215" customWidth="1"/>
    <col min="7948" max="7948" width="5.75" style="215" customWidth="1"/>
    <col min="7949" max="7949" width="6.25" style="215" customWidth="1"/>
    <col min="7950" max="7950" width="7.08203125" style="215" customWidth="1"/>
    <col min="7951" max="7951" width="3.08203125" style="215" customWidth="1"/>
    <col min="7952" max="7952" width="3.4140625" style="215" customWidth="1"/>
    <col min="7953" max="8193" width="8.6640625" style="215"/>
    <col min="8194" max="8194" width="4.25" style="215" customWidth="1"/>
    <col min="8195" max="8195" width="0.9140625" style="215" customWidth="1"/>
    <col min="8196" max="8196" width="5.08203125" style="215" customWidth="1"/>
    <col min="8197" max="8197" width="4.5" style="215" customWidth="1"/>
    <col min="8198" max="8198" width="4.4140625" style="215" customWidth="1"/>
    <col min="8199" max="8199" width="8.6640625" style="215"/>
    <col min="8200" max="8200" width="4.4140625" style="215" customWidth="1"/>
    <col min="8201" max="8201" width="4.08203125" style="215" customWidth="1"/>
    <col min="8202" max="8202" width="4.58203125" style="215" customWidth="1"/>
    <col min="8203" max="8203" width="5.1640625" style="215" customWidth="1"/>
    <col min="8204" max="8204" width="5.75" style="215" customWidth="1"/>
    <col min="8205" max="8205" width="6.25" style="215" customWidth="1"/>
    <col min="8206" max="8206" width="7.08203125" style="215" customWidth="1"/>
    <col min="8207" max="8207" width="3.08203125" style="215" customWidth="1"/>
    <col min="8208" max="8208" width="3.4140625" style="215" customWidth="1"/>
    <col min="8209" max="8449" width="8.6640625" style="215"/>
    <col min="8450" max="8450" width="4.25" style="215" customWidth="1"/>
    <col min="8451" max="8451" width="0.9140625" style="215" customWidth="1"/>
    <col min="8452" max="8452" width="5.08203125" style="215" customWidth="1"/>
    <col min="8453" max="8453" width="4.5" style="215" customWidth="1"/>
    <col min="8454" max="8454" width="4.4140625" style="215" customWidth="1"/>
    <col min="8455" max="8455" width="8.6640625" style="215"/>
    <col min="8456" max="8456" width="4.4140625" style="215" customWidth="1"/>
    <col min="8457" max="8457" width="4.08203125" style="215" customWidth="1"/>
    <col min="8458" max="8458" width="4.58203125" style="215" customWidth="1"/>
    <col min="8459" max="8459" width="5.1640625" style="215" customWidth="1"/>
    <col min="8460" max="8460" width="5.75" style="215" customWidth="1"/>
    <col min="8461" max="8461" width="6.25" style="215" customWidth="1"/>
    <col min="8462" max="8462" width="7.08203125" style="215" customWidth="1"/>
    <col min="8463" max="8463" width="3.08203125" style="215" customWidth="1"/>
    <col min="8464" max="8464" width="3.4140625" style="215" customWidth="1"/>
    <col min="8465" max="8705" width="8.6640625" style="215"/>
    <col min="8706" max="8706" width="4.25" style="215" customWidth="1"/>
    <col min="8707" max="8707" width="0.9140625" style="215" customWidth="1"/>
    <col min="8708" max="8708" width="5.08203125" style="215" customWidth="1"/>
    <col min="8709" max="8709" width="4.5" style="215" customWidth="1"/>
    <col min="8710" max="8710" width="4.4140625" style="215" customWidth="1"/>
    <col min="8711" max="8711" width="8.6640625" style="215"/>
    <col min="8712" max="8712" width="4.4140625" style="215" customWidth="1"/>
    <col min="8713" max="8713" width="4.08203125" style="215" customWidth="1"/>
    <col min="8714" max="8714" width="4.58203125" style="215" customWidth="1"/>
    <col min="8715" max="8715" width="5.1640625" style="215" customWidth="1"/>
    <col min="8716" max="8716" width="5.75" style="215" customWidth="1"/>
    <col min="8717" max="8717" width="6.25" style="215" customWidth="1"/>
    <col min="8718" max="8718" width="7.08203125" style="215" customWidth="1"/>
    <col min="8719" max="8719" width="3.08203125" style="215" customWidth="1"/>
    <col min="8720" max="8720" width="3.4140625" style="215" customWidth="1"/>
    <col min="8721" max="8961" width="8.6640625" style="215"/>
    <col min="8962" max="8962" width="4.25" style="215" customWidth="1"/>
    <col min="8963" max="8963" width="0.9140625" style="215" customWidth="1"/>
    <col min="8964" max="8964" width="5.08203125" style="215" customWidth="1"/>
    <col min="8965" max="8965" width="4.5" style="215" customWidth="1"/>
    <col min="8966" max="8966" width="4.4140625" style="215" customWidth="1"/>
    <col min="8967" max="8967" width="8.6640625" style="215"/>
    <col min="8968" max="8968" width="4.4140625" style="215" customWidth="1"/>
    <col min="8969" max="8969" width="4.08203125" style="215" customWidth="1"/>
    <col min="8970" max="8970" width="4.58203125" style="215" customWidth="1"/>
    <col min="8971" max="8971" width="5.1640625" style="215" customWidth="1"/>
    <col min="8972" max="8972" width="5.75" style="215" customWidth="1"/>
    <col min="8973" max="8973" width="6.25" style="215" customWidth="1"/>
    <col min="8974" max="8974" width="7.08203125" style="215" customWidth="1"/>
    <col min="8975" max="8975" width="3.08203125" style="215" customWidth="1"/>
    <col min="8976" max="8976" width="3.4140625" style="215" customWidth="1"/>
    <col min="8977" max="9217" width="8.6640625" style="215"/>
    <col min="9218" max="9218" width="4.25" style="215" customWidth="1"/>
    <col min="9219" max="9219" width="0.9140625" style="215" customWidth="1"/>
    <col min="9220" max="9220" width="5.08203125" style="215" customWidth="1"/>
    <col min="9221" max="9221" width="4.5" style="215" customWidth="1"/>
    <col min="9222" max="9222" width="4.4140625" style="215" customWidth="1"/>
    <col min="9223" max="9223" width="8.6640625" style="215"/>
    <col min="9224" max="9224" width="4.4140625" style="215" customWidth="1"/>
    <col min="9225" max="9225" width="4.08203125" style="215" customWidth="1"/>
    <col min="9226" max="9226" width="4.58203125" style="215" customWidth="1"/>
    <col min="9227" max="9227" width="5.1640625" style="215" customWidth="1"/>
    <col min="9228" max="9228" width="5.75" style="215" customWidth="1"/>
    <col min="9229" max="9229" width="6.25" style="215" customWidth="1"/>
    <col min="9230" max="9230" width="7.08203125" style="215" customWidth="1"/>
    <col min="9231" max="9231" width="3.08203125" style="215" customWidth="1"/>
    <col min="9232" max="9232" width="3.4140625" style="215" customWidth="1"/>
    <col min="9233" max="9473" width="8.6640625" style="215"/>
    <col min="9474" max="9474" width="4.25" style="215" customWidth="1"/>
    <col min="9475" max="9475" width="0.9140625" style="215" customWidth="1"/>
    <col min="9476" max="9476" width="5.08203125" style="215" customWidth="1"/>
    <col min="9477" max="9477" width="4.5" style="215" customWidth="1"/>
    <col min="9478" max="9478" width="4.4140625" style="215" customWidth="1"/>
    <col min="9479" max="9479" width="8.6640625" style="215"/>
    <col min="9480" max="9480" width="4.4140625" style="215" customWidth="1"/>
    <col min="9481" max="9481" width="4.08203125" style="215" customWidth="1"/>
    <col min="9482" max="9482" width="4.58203125" style="215" customWidth="1"/>
    <col min="9483" max="9483" width="5.1640625" style="215" customWidth="1"/>
    <col min="9484" max="9484" width="5.75" style="215" customWidth="1"/>
    <col min="9485" max="9485" width="6.25" style="215" customWidth="1"/>
    <col min="9486" max="9486" width="7.08203125" style="215" customWidth="1"/>
    <col min="9487" max="9487" width="3.08203125" style="215" customWidth="1"/>
    <col min="9488" max="9488" width="3.4140625" style="215" customWidth="1"/>
    <col min="9489" max="9729" width="8.6640625" style="215"/>
    <col min="9730" max="9730" width="4.25" style="215" customWidth="1"/>
    <col min="9731" max="9731" width="0.9140625" style="215" customWidth="1"/>
    <col min="9732" max="9732" width="5.08203125" style="215" customWidth="1"/>
    <col min="9733" max="9733" width="4.5" style="215" customWidth="1"/>
    <col min="9734" max="9734" width="4.4140625" style="215" customWidth="1"/>
    <col min="9735" max="9735" width="8.6640625" style="215"/>
    <col min="9736" max="9736" width="4.4140625" style="215" customWidth="1"/>
    <col min="9737" max="9737" width="4.08203125" style="215" customWidth="1"/>
    <col min="9738" max="9738" width="4.58203125" style="215" customWidth="1"/>
    <col min="9739" max="9739" width="5.1640625" style="215" customWidth="1"/>
    <col min="9740" max="9740" width="5.75" style="215" customWidth="1"/>
    <col min="9741" max="9741" width="6.25" style="215" customWidth="1"/>
    <col min="9742" max="9742" width="7.08203125" style="215" customWidth="1"/>
    <col min="9743" max="9743" width="3.08203125" style="215" customWidth="1"/>
    <col min="9744" max="9744" width="3.4140625" style="215" customWidth="1"/>
    <col min="9745" max="9985" width="8.6640625" style="215"/>
    <col min="9986" max="9986" width="4.25" style="215" customWidth="1"/>
    <col min="9987" max="9987" width="0.9140625" style="215" customWidth="1"/>
    <col min="9988" max="9988" width="5.08203125" style="215" customWidth="1"/>
    <col min="9989" max="9989" width="4.5" style="215" customWidth="1"/>
    <col min="9990" max="9990" width="4.4140625" style="215" customWidth="1"/>
    <col min="9991" max="9991" width="8.6640625" style="215"/>
    <col min="9992" max="9992" width="4.4140625" style="215" customWidth="1"/>
    <col min="9993" max="9993" width="4.08203125" style="215" customWidth="1"/>
    <col min="9994" max="9994" width="4.58203125" style="215" customWidth="1"/>
    <col min="9995" max="9995" width="5.1640625" style="215" customWidth="1"/>
    <col min="9996" max="9996" width="5.75" style="215" customWidth="1"/>
    <col min="9997" max="9997" width="6.25" style="215" customWidth="1"/>
    <col min="9998" max="9998" width="7.08203125" style="215" customWidth="1"/>
    <col min="9999" max="9999" width="3.08203125" style="215" customWidth="1"/>
    <col min="10000" max="10000" width="3.4140625" style="215" customWidth="1"/>
    <col min="10001" max="10241" width="8.6640625" style="215"/>
    <col min="10242" max="10242" width="4.25" style="215" customWidth="1"/>
    <col min="10243" max="10243" width="0.9140625" style="215" customWidth="1"/>
    <col min="10244" max="10244" width="5.08203125" style="215" customWidth="1"/>
    <col min="10245" max="10245" width="4.5" style="215" customWidth="1"/>
    <col min="10246" max="10246" width="4.4140625" style="215" customWidth="1"/>
    <col min="10247" max="10247" width="8.6640625" style="215"/>
    <col min="10248" max="10248" width="4.4140625" style="215" customWidth="1"/>
    <col min="10249" max="10249" width="4.08203125" style="215" customWidth="1"/>
    <col min="10250" max="10250" width="4.58203125" style="215" customWidth="1"/>
    <col min="10251" max="10251" width="5.1640625" style="215" customWidth="1"/>
    <col min="10252" max="10252" width="5.75" style="215" customWidth="1"/>
    <col min="10253" max="10253" width="6.25" style="215" customWidth="1"/>
    <col min="10254" max="10254" width="7.08203125" style="215" customWidth="1"/>
    <col min="10255" max="10255" width="3.08203125" style="215" customWidth="1"/>
    <col min="10256" max="10256" width="3.4140625" style="215" customWidth="1"/>
    <col min="10257" max="10497" width="8.6640625" style="215"/>
    <col min="10498" max="10498" width="4.25" style="215" customWidth="1"/>
    <col min="10499" max="10499" width="0.9140625" style="215" customWidth="1"/>
    <col min="10500" max="10500" width="5.08203125" style="215" customWidth="1"/>
    <col min="10501" max="10501" width="4.5" style="215" customWidth="1"/>
    <col min="10502" max="10502" width="4.4140625" style="215" customWidth="1"/>
    <col min="10503" max="10503" width="8.6640625" style="215"/>
    <col min="10504" max="10504" width="4.4140625" style="215" customWidth="1"/>
    <col min="10505" max="10505" width="4.08203125" style="215" customWidth="1"/>
    <col min="10506" max="10506" width="4.58203125" style="215" customWidth="1"/>
    <col min="10507" max="10507" width="5.1640625" style="215" customWidth="1"/>
    <col min="10508" max="10508" width="5.75" style="215" customWidth="1"/>
    <col min="10509" max="10509" width="6.25" style="215" customWidth="1"/>
    <col min="10510" max="10510" width="7.08203125" style="215" customWidth="1"/>
    <col min="10511" max="10511" width="3.08203125" style="215" customWidth="1"/>
    <col min="10512" max="10512" width="3.4140625" style="215" customWidth="1"/>
    <col min="10513" max="10753" width="8.6640625" style="215"/>
    <col min="10754" max="10754" width="4.25" style="215" customWidth="1"/>
    <col min="10755" max="10755" width="0.9140625" style="215" customWidth="1"/>
    <col min="10756" max="10756" width="5.08203125" style="215" customWidth="1"/>
    <col min="10757" max="10757" width="4.5" style="215" customWidth="1"/>
    <col min="10758" max="10758" width="4.4140625" style="215" customWidth="1"/>
    <col min="10759" max="10759" width="8.6640625" style="215"/>
    <col min="10760" max="10760" width="4.4140625" style="215" customWidth="1"/>
    <col min="10761" max="10761" width="4.08203125" style="215" customWidth="1"/>
    <col min="10762" max="10762" width="4.58203125" style="215" customWidth="1"/>
    <col min="10763" max="10763" width="5.1640625" style="215" customWidth="1"/>
    <col min="10764" max="10764" width="5.75" style="215" customWidth="1"/>
    <col min="10765" max="10765" width="6.25" style="215" customWidth="1"/>
    <col min="10766" max="10766" width="7.08203125" style="215" customWidth="1"/>
    <col min="10767" max="10767" width="3.08203125" style="215" customWidth="1"/>
    <col min="10768" max="10768" width="3.4140625" style="215" customWidth="1"/>
    <col min="10769" max="11009" width="8.6640625" style="215"/>
    <col min="11010" max="11010" width="4.25" style="215" customWidth="1"/>
    <col min="11011" max="11011" width="0.9140625" style="215" customWidth="1"/>
    <col min="11012" max="11012" width="5.08203125" style="215" customWidth="1"/>
    <col min="11013" max="11013" width="4.5" style="215" customWidth="1"/>
    <col min="11014" max="11014" width="4.4140625" style="215" customWidth="1"/>
    <col min="11015" max="11015" width="8.6640625" style="215"/>
    <col min="11016" max="11016" width="4.4140625" style="215" customWidth="1"/>
    <col min="11017" max="11017" width="4.08203125" style="215" customWidth="1"/>
    <col min="11018" max="11018" width="4.58203125" style="215" customWidth="1"/>
    <col min="11019" max="11019" width="5.1640625" style="215" customWidth="1"/>
    <col min="11020" max="11020" width="5.75" style="215" customWidth="1"/>
    <col min="11021" max="11021" width="6.25" style="215" customWidth="1"/>
    <col min="11022" max="11022" width="7.08203125" style="215" customWidth="1"/>
    <col min="11023" max="11023" width="3.08203125" style="215" customWidth="1"/>
    <col min="11024" max="11024" width="3.4140625" style="215" customWidth="1"/>
    <col min="11025" max="11265" width="8.6640625" style="215"/>
    <col min="11266" max="11266" width="4.25" style="215" customWidth="1"/>
    <col min="11267" max="11267" width="0.9140625" style="215" customWidth="1"/>
    <col min="11268" max="11268" width="5.08203125" style="215" customWidth="1"/>
    <col min="11269" max="11269" width="4.5" style="215" customWidth="1"/>
    <col min="11270" max="11270" width="4.4140625" style="215" customWidth="1"/>
    <col min="11271" max="11271" width="8.6640625" style="215"/>
    <col min="11272" max="11272" width="4.4140625" style="215" customWidth="1"/>
    <col min="11273" max="11273" width="4.08203125" style="215" customWidth="1"/>
    <col min="11274" max="11274" width="4.58203125" style="215" customWidth="1"/>
    <col min="11275" max="11275" width="5.1640625" style="215" customWidth="1"/>
    <col min="11276" max="11276" width="5.75" style="215" customWidth="1"/>
    <col min="11277" max="11277" width="6.25" style="215" customWidth="1"/>
    <col min="11278" max="11278" width="7.08203125" style="215" customWidth="1"/>
    <col min="11279" max="11279" width="3.08203125" style="215" customWidth="1"/>
    <col min="11280" max="11280" width="3.4140625" style="215" customWidth="1"/>
    <col min="11281" max="11521" width="8.6640625" style="215"/>
    <col min="11522" max="11522" width="4.25" style="215" customWidth="1"/>
    <col min="11523" max="11523" width="0.9140625" style="215" customWidth="1"/>
    <col min="11524" max="11524" width="5.08203125" style="215" customWidth="1"/>
    <col min="11525" max="11525" width="4.5" style="215" customWidth="1"/>
    <col min="11526" max="11526" width="4.4140625" style="215" customWidth="1"/>
    <col min="11527" max="11527" width="8.6640625" style="215"/>
    <col min="11528" max="11528" width="4.4140625" style="215" customWidth="1"/>
    <col min="11529" max="11529" width="4.08203125" style="215" customWidth="1"/>
    <col min="11530" max="11530" width="4.58203125" style="215" customWidth="1"/>
    <col min="11531" max="11531" width="5.1640625" style="215" customWidth="1"/>
    <col min="11532" max="11532" width="5.75" style="215" customWidth="1"/>
    <col min="11533" max="11533" width="6.25" style="215" customWidth="1"/>
    <col min="11534" max="11534" width="7.08203125" style="215" customWidth="1"/>
    <col min="11535" max="11535" width="3.08203125" style="215" customWidth="1"/>
    <col min="11536" max="11536" width="3.4140625" style="215" customWidth="1"/>
    <col min="11537" max="11777" width="8.6640625" style="215"/>
    <col min="11778" max="11778" width="4.25" style="215" customWidth="1"/>
    <col min="11779" max="11779" width="0.9140625" style="215" customWidth="1"/>
    <col min="11780" max="11780" width="5.08203125" style="215" customWidth="1"/>
    <col min="11781" max="11781" width="4.5" style="215" customWidth="1"/>
    <col min="11782" max="11782" width="4.4140625" style="215" customWidth="1"/>
    <col min="11783" max="11783" width="8.6640625" style="215"/>
    <col min="11784" max="11784" width="4.4140625" style="215" customWidth="1"/>
    <col min="11785" max="11785" width="4.08203125" style="215" customWidth="1"/>
    <col min="11786" max="11786" width="4.58203125" style="215" customWidth="1"/>
    <col min="11787" max="11787" width="5.1640625" style="215" customWidth="1"/>
    <col min="11788" max="11788" width="5.75" style="215" customWidth="1"/>
    <col min="11789" max="11789" width="6.25" style="215" customWidth="1"/>
    <col min="11790" max="11790" width="7.08203125" style="215" customWidth="1"/>
    <col min="11791" max="11791" width="3.08203125" style="215" customWidth="1"/>
    <col min="11792" max="11792" width="3.4140625" style="215" customWidth="1"/>
    <col min="11793" max="12033" width="8.6640625" style="215"/>
    <col min="12034" max="12034" width="4.25" style="215" customWidth="1"/>
    <col min="12035" max="12035" width="0.9140625" style="215" customWidth="1"/>
    <col min="12036" max="12036" width="5.08203125" style="215" customWidth="1"/>
    <col min="12037" max="12037" width="4.5" style="215" customWidth="1"/>
    <col min="12038" max="12038" width="4.4140625" style="215" customWidth="1"/>
    <col min="12039" max="12039" width="8.6640625" style="215"/>
    <col min="12040" max="12040" width="4.4140625" style="215" customWidth="1"/>
    <col min="12041" max="12041" width="4.08203125" style="215" customWidth="1"/>
    <col min="12042" max="12042" width="4.58203125" style="215" customWidth="1"/>
    <col min="12043" max="12043" width="5.1640625" style="215" customWidth="1"/>
    <col min="12044" max="12044" width="5.75" style="215" customWidth="1"/>
    <col min="12045" max="12045" width="6.25" style="215" customWidth="1"/>
    <col min="12046" max="12046" width="7.08203125" style="215" customWidth="1"/>
    <col min="12047" max="12047" width="3.08203125" style="215" customWidth="1"/>
    <col min="12048" max="12048" width="3.4140625" style="215" customWidth="1"/>
    <col min="12049" max="12289" width="8.6640625" style="215"/>
    <col min="12290" max="12290" width="4.25" style="215" customWidth="1"/>
    <col min="12291" max="12291" width="0.9140625" style="215" customWidth="1"/>
    <col min="12292" max="12292" width="5.08203125" style="215" customWidth="1"/>
    <col min="12293" max="12293" width="4.5" style="215" customWidth="1"/>
    <col min="12294" max="12294" width="4.4140625" style="215" customWidth="1"/>
    <col min="12295" max="12295" width="8.6640625" style="215"/>
    <col min="12296" max="12296" width="4.4140625" style="215" customWidth="1"/>
    <col min="12297" max="12297" width="4.08203125" style="215" customWidth="1"/>
    <col min="12298" max="12298" width="4.58203125" style="215" customWidth="1"/>
    <col min="12299" max="12299" width="5.1640625" style="215" customWidth="1"/>
    <col min="12300" max="12300" width="5.75" style="215" customWidth="1"/>
    <col min="12301" max="12301" width="6.25" style="215" customWidth="1"/>
    <col min="12302" max="12302" width="7.08203125" style="215" customWidth="1"/>
    <col min="12303" max="12303" width="3.08203125" style="215" customWidth="1"/>
    <col min="12304" max="12304" width="3.4140625" style="215" customWidth="1"/>
    <col min="12305" max="12545" width="8.6640625" style="215"/>
    <col min="12546" max="12546" width="4.25" style="215" customWidth="1"/>
    <col min="12547" max="12547" width="0.9140625" style="215" customWidth="1"/>
    <col min="12548" max="12548" width="5.08203125" style="215" customWidth="1"/>
    <col min="12549" max="12549" width="4.5" style="215" customWidth="1"/>
    <col min="12550" max="12550" width="4.4140625" style="215" customWidth="1"/>
    <col min="12551" max="12551" width="8.6640625" style="215"/>
    <col min="12552" max="12552" width="4.4140625" style="215" customWidth="1"/>
    <col min="12553" max="12553" width="4.08203125" style="215" customWidth="1"/>
    <col min="12554" max="12554" width="4.58203125" style="215" customWidth="1"/>
    <col min="12555" max="12555" width="5.1640625" style="215" customWidth="1"/>
    <col min="12556" max="12556" width="5.75" style="215" customWidth="1"/>
    <col min="12557" max="12557" width="6.25" style="215" customWidth="1"/>
    <col min="12558" max="12558" width="7.08203125" style="215" customWidth="1"/>
    <col min="12559" max="12559" width="3.08203125" style="215" customWidth="1"/>
    <col min="12560" max="12560" width="3.4140625" style="215" customWidth="1"/>
    <col min="12561" max="12801" width="8.6640625" style="215"/>
    <col min="12802" max="12802" width="4.25" style="215" customWidth="1"/>
    <col min="12803" max="12803" width="0.9140625" style="215" customWidth="1"/>
    <col min="12804" max="12804" width="5.08203125" style="215" customWidth="1"/>
    <col min="12805" max="12805" width="4.5" style="215" customWidth="1"/>
    <col min="12806" max="12806" width="4.4140625" style="215" customWidth="1"/>
    <col min="12807" max="12807" width="8.6640625" style="215"/>
    <col min="12808" max="12808" width="4.4140625" style="215" customWidth="1"/>
    <col min="12809" max="12809" width="4.08203125" style="215" customWidth="1"/>
    <col min="12810" max="12810" width="4.58203125" style="215" customWidth="1"/>
    <col min="12811" max="12811" width="5.1640625" style="215" customWidth="1"/>
    <col min="12812" max="12812" width="5.75" style="215" customWidth="1"/>
    <col min="12813" max="12813" width="6.25" style="215" customWidth="1"/>
    <col min="12814" max="12814" width="7.08203125" style="215" customWidth="1"/>
    <col min="12815" max="12815" width="3.08203125" style="215" customWidth="1"/>
    <col min="12816" max="12816" width="3.4140625" style="215" customWidth="1"/>
    <col min="12817" max="13057" width="8.6640625" style="215"/>
    <col min="13058" max="13058" width="4.25" style="215" customWidth="1"/>
    <col min="13059" max="13059" width="0.9140625" style="215" customWidth="1"/>
    <col min="13060" max="13060" width="5.08203125" style="215" customWidth="1"/>
    <col min="13061" max="13061" width="4.5" style="215" customWidth="1"/>
    <col min="13062" max="13062" width="4.4140625" style="215" customWidth="1"/>
    <col min="13063" max="13063" width="8.6640625" style="215"/>
    <col min="13064" max="13064" width="4.4140625" style="215" customWidth="1"/>
    <col min="13065" max="13065" width="4.08203125" style="215" customWidth="1"/>
    <col min="13066" max="13066" width="4.58203125" style="215" customWidth="1"/>
    <col min="13067" max="13067" width="5.1640625" style="215" customWidth="1"/>
    <col min="13068" max="13068" width="5.75" style="215" customWidth="1"/>
    <col min="13069" max="13069" width="6.25" style="215" customWidth="1"/>
    <col min="13070" max="13070" width="7.08203125" style="215" customWidth="1"/>
    <col min="13071" max="13071" width="3.08203125" style="215" customWidth="1"/>
    <col min="13072" max="13072" width="3.4140625" style="215" customWidth="1"/>
    <col min="13073" max="13313" width="8.6640625" style="215"/>
    <col min="13314" max="13314" width="4.25" style="215" customWidth="1"/>
    <col min="13315" max="13315" width="0.9140625" style="215" customWidth="1"/>
    <col min="13316" max="13316" width="5.08203125" style="215" customWidth="1"/>
    <col min="13317" max="13317" width="4.5" style="215" customWidth="1"/>
    <col min="13318" max="13318" width="4.4140625" style="215" customWidth="1"/>
    <col min="13319" max="13319" width="8.6640625" style="215"/>
    <col min="13320" max="13320" width="4.4140625" style="215" customWidth="1"/>
    <col min="13321" max="13321" width="4.08203125" style="215" customWidth="1"/>
    <col min="13322" max="13322" width="4.58203125" style="215" customWidth="1"/>
    <col min="13323" max="13323" width="5.1640625" style="215" customWidth="1"/>
    <col min="13324" max="13324" width="5.75" style="215" customWidth="1"/>
    <col min="13325" max="13325" width="6.25" style="215" customWidth="1"/>
    <col min="13326" max="13326" width="7.08203125" style="215" customWidth="1"/>
    <col min="13327" max="13327" width="3.08203125" style="215" customWidth="1"/>
    <col min="13328" max="13328" width="3.4140625" style="215" customWidth="1"/>
    <col min="13329" max="13569" width="8.6640625" style="215"/>
    <col min="13570" max="13570" width="4.25" style="215" customWidth="1"/>
    <col min="13571" max="13571" width="0.9140625" style="215" customWidth="1"/>
    <col min="13572" max="13572" width="5.08203125" style="215" customWidth="1"/>
    <col min="13573" max="13573" width="4.5" style="215" customWidth="1"/>
    <col min="13574" max="13574" width="4.4140625" style="215" customWidth="1"/>
    <col min="13575" max="13575" width="8.6640625" style="215"/>
    <col min="13576" max="13576" width="4.4140625" style="215" customWidth="1"/>
    <col min="13577" max="13577" width="4.08203125" style="215" customWidth="1"/>
    <col min="13578" max="13578" width="4.58203125" style="215" customWidth="1"/>
    <col min="13579" max="13579" width="5.1640625" style="215" customWidth="1"/>
    <col min="13580" max="13580" width="5.75" style="215" customWidth="1"/>
    <col min="13581" max="13581" width="6.25" style="215" customWidth="1"/>
    <col min="13582" max="13582" width="7.08203125" style="215" customWidth="1"/>
    <col min="13583" max="13583" width="3.08203125" style="215" customWidth="1"/>
    <col min="13584" max="13584" width="3.4140625" style="215" customWidth="1"/>
    <col min="13585" max="13825" width="8.6640625" style="215"/>
    <col min="13826" max="13826" width="4.25" style="215" customWidth="1"/>
    <col min="13827" max="13827" width="0.9140625" style="215" customWidth="1"/>
    <col min="13828" max="13828" width="5.08203125" style="215" customWidth="1"/>
    <col min="13829" max="13829" width="4.5" style="215" customWidth="1"/>
    <col min="13830" max="13830" width="4.4140625" style="215" customWidth="1"/>
    <col min="13831" max="13831" width="8.6640625" style="215"/>
    <col min="13832" max="13832" width="4.4140625" style="215" customWidth="1"/>
    <col min="13833" max="13833" width="4.08203125" style="215" customWidth="1"/>
    <col min="13834" max="13834" width="4.58203125" style="215" customWidth="1"/>
    <col min="13835" max="13835" width="5.1640625" style="215" customWidth="1"/>
    <col min="13836" max="13836" width="5.75" style="215" customWidth="1"/>
    <col min="13837" max="13837" width="6.25" style="215" customWidth="1"/>
    <col min="13838" max="13838" width="7.08203125" style="215" customWidth="1"/>
    <col min="13839" max="13839" width="3.08203125" style="215" customWidth="1"/>
    <col min="13840" max="13840" width="3.4140625" style="215" customWidth="1"/>
    <col min="13841" max="14081" width="8.6640625" style="215"/>
    <col min="14082" max="14082" width="4.25" style="215" customWidth="1"/>
    <col min="14083" max="14083" width="0.9140625" style="215" customWidth="1"/>
    <col min="14084" max="14084" width="5.08203125" style="215" customWidth="1"/>
    <col min="14085" max="14085" width="4.5" style="215" customWidth="1"/>
    <col min="14086" max="14086" width="4.4140625" style="215" customWidth="1"/>
    <col min="14087" max="14087" width="8.6640625" style="215"/>
    <col min="14088" max="14088" width="4.4140625" style="215" customWidth="1"/>
    <col min="14089" max="14089" width="4.08203125" style="215" customWidth="1"/>
    <col min="14090" max="14090" width="4.58203125" style="215" customWidth="1"/>
    <col min="14091" max="14091" width="5.1640625" style="215" customWidth="1"/>
    <col min="14092" max="14092" width="5.75" style="215" customWidth="1"/>
    <col min="14093" max="14093" width="6.25" style="215" customWidth="1"/>
    <col min="14094" max="14094" width="7.08203125" style="215" customWidth="1"/>
    <col min="14095" max="14095" width="3.08203125" style="215" customWidth="1"/>
    <col min="14096" max="14096" width="3.4140625" style="215" customWidth="1"/>
    <col min="14097" max="14337" width="8.6640625" style="215"/>
    <col min="14338" max="14338" width="4.25" style="215" customWidth="1"/>
    <col min="14339" max="14339" width="0.9140625" style="215" customWidth="1"/>
    <col min="14340" max="14340" width="5.08203125" style="215" customWidth="1"/>
    <col min="14341" max="14341" width="4.5" style="215" customWidth="1"/>
    <col min="14342" max="14342" width="4.4140625" style="215" customWidth="1"/>
    <col min="14343" max="14343" width="8.6640625" style="215"/>
    <col min="14344" max="14344" width="4.4140625" style="215" customWidth="1"/>
    <col min="14345" max="14345" width="4.08203125" style="215" customWidth="1"/>
    <col min="14346" max="14346" width="4.58203125" style="215" customWidth="1"/>
    <col min="14347" max="14347" width="5.1640625" style="215" customWidth="1"/>
    <col min="14348" max="14348" width="5.75" style="215" customWidth="1"/>
    <col min="14349" max="14349" width="6.25" style="215" customWidth="1"/>
    <col min="14350" max="14350" width="7.08203125" style="215" customWidth="1"/>
    <col min="14351" max="14351" width="3.08203125" style="215" customWidth="1"/>
    <col min="14352" max="14352" width="3.4140625" style="215" customWidth="1"/>
    <col min="14353" max="14593" width="8.6640625" style="215"/>
    <col min="14594" max="14594" width="4.25" style="215" customWidth="1"/>
    <col min="14595" max="14595" width="0.9140625" style="215" customWidth="1"/>
    <col min="14596" max="14596" width="5.08203125" style="215" customWidth="1"/>
    <col min="14597" max="14597" width="4.5" style="215" customWidth="1"/>
    <col min="14598" max="14598" width="4.4140625" style="215" customWidth="1"/>
    <col min="14599" max="14599" width="8.6640625" style="215"/>
    <col min="14600" max="14600" width="4.4140625" style="215" customWidth="1"/>
    <col min="14601" max="14601" width="4.08203125" style="215" customWidth="1"/>
    <col min="14602" max="14602" width="4.58203125" style="215" customWidth="1"/>
    <col min="14603" max="14603" width="5.1640625" style="215" customWidth="1"/>
    <col min="14604" max="14604" width="5.75" style="215" customWidth="1"/>
    <col min="14605" max="14605" width="6.25" style="215" customWidth="1"/>
    <col min="14606" max="14606" width="7.08203125" style="215" customWidth="1"/>
    <col min="14607" max="14607" width="3.08203125" style="215" customWidth="1"/>
    <col min="14608" max="14608" width="3.4140625" style="215" customWidth="1"/>
    <col min="14609" max="14849" width="8.6640625" style="215"/>
    <col min="14850" max="14850" width="4.25" style="215" customWidth="1"/>
    <col min="14851" max="14851" width="0.9140625" style="215" customWidth="1"/>
    <col min="14852" max="14852" width="5.08203125" style="215" customWidth="1"/>
    <col min="14853" max="14853" width="4.5" style="215" customWidth="1"/>
    <col min="14854" max="14854" width="4.4140625" style="215" customWidth="1"/>
    <col min="14855" max="14855" width="8.6640625" style="215"/>
    <col min="14856" max="14856" width="4.4140625" style="215" customWidth="1"/>
    <col min="14857" max="14857" width="4.08203125" style="215" customWidth="1"/>
    <col min="14858" max="14858" width="4.58203125" style="215" customWidth="1"/>
    <col min="14859" max="14859" width="5.1640625" style="215" customWidth="1"/>
    <col min="14860" max="14860" width="5.75" style="215" customWidth="1"/>
    <col min="14861" max="14861" width="6.25" style="215" customWidth="1"/>
    <col min="14862" max="14862" width="7.08203125" style="215" customWidth="1"/>
    <col min="14863" max="14863" width="3.08203125" style="215" customWidth="1"/>
    <col min="14864" max="14864" width="3.4140625" style="215" customWidth="1"/>
    <col min="14865" max="15105" width="8.6640625" style="215"/>
    <col min="15106" max="15106" width="4.25" style="215" customWidth="1"/>
    <col min="15107" max="15107" width="0.9140625" style="215" customWidth="1"/>
    <col min="15108" max="15108" width="5.08203125" style="215" customWidth="1"/>
    <col min="15109" max="15109" width="4.5" style="215" customWidth="1"/>
    <col min="15110" max="15110" width="4.4140625" style="215" customWidth="1"/>
    <col min="15111" max="15111" width="8.6640625" style="215"/>
    <col min="15112" max="15112" width="4.4140625" style="215" customWidth="1"/>
    <col min="15113" max="15113" width="4.08203125" style="215" customWidth="1"/>
    <col min="15114" max="15114" width="4.58203125" style="215" customWidth="1"/>
    <col min="15115" max="15115" width="5.1640625" style="215" customWidth="1"/>
    <col min="15116" max="15116" width="5.75" style="215" customWidth="1"/>
    <col min="15117" max="15117" width="6.25" style="215" customWidth="1"/>
    <col min="15118" max="15118" width="7.08203125" style="215" customWidth="1"/>
    <col min="15119" max="15119" width="3.08203125" style="215" customWidth="1"/>
    <col min="15120" max="15120" width="3.4140625" style="215" customWidth="1"/>
    <col min="15121" max="15361" width="8.6640625" style="215"/>
    <col min="15362" max="15362" width="4.25" style="215" customWidth="1"/>
    <col min="15363" max="15363" width="0.9140625" style="215" customWidth="1"/>
    <col min="15364" max="15364" width="5.08203125" style="215" customWidth="1"/>
    <col min="15365" max="15365" width="4.5" style="215" customWidth="1"/>
    <col min="15366" max="15366" width="4.4140625" style="215" customWidth="1"/>
    <col min="15367" max="15367" width="8.6640625" style="215"/>
    <col min="15368" max="15368" width="4.4140625" style="215" customWidth="1"/>
    <col min="15369" max="15369" width="4.08203125" style="215" customWidth="1"/>
    <col min="15370" max="15370" width="4.58203125" style="215" customWidth="1"/>
    <col min="15371" max="15371" width="5.1640625" style="215" customWidth="1"/>
    <col min="15372" max="15372" width="5.75" style="215" customWidth="1"/>
    <col min="15373" max="15373" width="6.25" style="215" customWidth="1"/>
    <col min="15374" max="15374" width="7.08203125" style="215" customWidth="1"/>
    <col min="15375" max="15375" width="3.08203125" style="215" customWidth="1"/>
    <col min="15376" max="15376" width="3.4140625" style="215" customWidth="1"/>
    <col min="15377" max="15617" width="8.6640625" style="215"/>
    <col min="15618" max="15618" width="4.25" style="215" customWidth="1"/>
    <col min="15619" max="15619" width="0.9140625" style="215" customWidth="1"/>
    <col min="15620" max="15620" width="5.08203125" style="215" customWidth="1"/>
    <col min="15621" max="15621" width="4.5" style="215" customWidth="1"/>
    <col min="15622" max="15622" width="4.4140625" style="215" customWidth="1"/>
    <col min="15623" max="15623" width="8.6640625" style="215"/>
    <col min="15624" max="15624" width="4.4140625" style="215" customWidth="1"/>
    <col min="15625" max="15625" width="4.08203125" style="215" customWidth="1"/>
    <col min="15626" max="15626" width="4.58203125" style="215" customWidth="1"/>
    <col min="15627" max="15627" width="5.1640625" style="215" customWidth="1"/>
    <col min="15628" max="15628" width="5.75" style="215" customWidth="1"/>
    <col min="15629" max="15629" width="6.25" style="215" customWidth="1"/>
    <col min="15630" max="15630" width="7.08203125" style="215" customWidth="1"/>
    <col min="15631" max="15631" width="3.08203125" style="215" customWidth="1"/>
    <col min="15632" max="15632" width="3.4140625" style="215" customWidth="1"/>
    <col min="15633" max="15873" width="8.6640625" style="215"/>
    <col min="15874" max="15874" width="4.25" style="215" customWidth="1"/>
    <col min="15875" max="15875" width="0.9140625" style="215" customWidth="1"/>
    <col min="15876" max="15876" width="5.08203125" style="215" customWidth="1"/>
    <col min="15877" max="15877" width="4.5" style="215" customWidth="1"/>
    <col min="15878" max="15878" width="4.4140625" style="215" customWidth="1"/>
    <col min="15879" max="15879" width="8.6640625" style="215"/>
    <col min="15880" max="15880" width="4.4140625" style="215" customWidth="1"/>
    <col min="15881" max="15881" width="4.08203125" style="215" customWidth="1"/>
    <col min="15882" max="15882" width="4.58203125" style="215" customWidth="1"/>
    <col min="15883" max="15883" width="5.1640625" style="215" customWidth="1"/>
    <col min="15884" max="15884" width="5.75" style="215" customWidth="1"/>
    <col min="15885" max="15885" width="6.25" style="215" customWidth="1"/>
    <col min="15886" max="15886" width="7.08203125" style="215" customWidth="1"/>
    <col min="15887" max="15887" width="3.08203125" style="215" customWidth="1"/>
    <col min="15888" max="15888" width="3.4140625" style="215" customWidth="1"/>
    <col min="15889" max="16129" width="8.6640625" style="215"/>
    <col min="16130" max="16130" width="4.25" style="215" customWidth="1"/>
    <col min="16131" max="16131" width="0.9140625" style="215" customWidth="1"/>
    <col min="16132" max="16132" width="5.08203125" style="215" customWidth="1"/>
    <col min="16133" max="16133" width="4.5" style="215" customWidth="1"/>
    <col min="16134" max="16134" width="4.4140625" style="215" customWidth="1"/>
    <col min="16135" max="16135" width="8.6640625" style="215"/>
    <col min="16136" max="16136" width="4.4140625" style="215" customWidth="1"/>
    <col min="16137" max="16137" width="4.08203125" style="215" customWidth="1"/>
    <col min="16138" max="16138" width="4.58203125" style="215" customWidth="1"/>
    <col min="16139" max="16139" width="5.1640625" style="215" customWidth="1"/>
    <col min="16140" max="16140" width="5.75" style="215" customWidth="1"/>
    <col min="16141" max="16141" width="6.25" style="215" customWidth="1"/>
    <col min="16142" max="16142" width="7.08203125" style="215" customWidth="1"/>
    <col min="16143" max="16143" width="3.08203125" style="215" customWidth="1"/>
    <col min="16144" max="16144" width="3.4140625" style="215" customWidth="1"/>
    <col min="16145" max="16384" width="8.6640625" style="215"/>
  </cols>
  <sheetData>
    <row r="1" spans="1:21" ht="20.25">
      <c r="A1" s="207" t="s">
        <v>183</v>
      </c>
      <c r="B1" s="208"/>
      <c r="C1" s="209" t="s">
        <v>184</v>
      </c>
      <c r="D1" s="210"/>
      <c r="E1" s="210"/>
      <c r="F1" s="210"/>
      <c r="G1" s="211"/>
      <c r="H1" s="211"/>
      <c r="I1" s="211"/>
      <c r="J1" s="211"/>
      <c r="K1" s="211"/>
      <c r="L1" s="211"/>
      <c r="M1" s="211"/>
      <c r="N1" s="212" t="s">
        <v>45</v>
      </c>
      <c r="O1" s="213"/>
      <c r="P1" s="214"/>
    </row>
    <row r="2" spans="1:21" ht="20.25">
      <c r="A2" s="216" t="s">
        <v>185</v>
      </c>
      <c r="B2" s="217"/>
      <c r="C2" s="218" t="s">
        <v>186</v>
      </c>
      <c r="D2" s="219"/>
      <c r="E2" s="219"/>
      <c r="F2" s="219"/>
      <c r="G2" s="220"/>
      <c r="H2" s="220"/>
      <c r="I2" s="220"/>
      <c r="J2" s="220"/>
      <c r="K2" s="220"/>
      <c r="L2" s="220"/>
      <c r="M2" s="220"/>
      <c r="N2" s="221" t="s">
        <v>187</v>
      </c>
      <c r="O2" s="220"/>
      <c r="P2" s="222"/>
    </row>
    <row r="3" spans="1:21" ht="7.5" customHeight="1">
      <c r="A3" s="223"/>
      <c r="B3" s="224"/>
      <c r="C3" s="224"/>
      <c r="D3" s="224"/>
      <c r="E3" s="224"/>
      <c r="F3" s="224"/>
      <c r="G3" s="225"/>
      <c r="H3" s="226"/>
      <c r="I3" s="225"/>
      <c r="J3" s="225"/>
      <c r="K3" s="225"/>
      <c r="L3" s="225"/>
      <c r="M3" s="225"/>
      <c r="N3" s="225"/>
      <c r="O3" s="225"/>
      <c r="P3" s="227"/>
    </row>
    <row r="4" spans="1:21" ht="6.75" customHeight="1">
      <c r="A4" s="223"/>
      <c r="B4" s="224"/>
      <c r="C4" s="224"/>
      <c r="D4" s="224"/>
      <c r="E4" s="224"/>
      <c r="F4" s="224"/>
      <c r="G4" s="224"/>
      <c r="H4" s="224"/>
      <c r="I4" s="225"/>
      <c r="J4" s="225"/>
      <c r="K4" s="225"/>
      <c r="L4" s="225"/>
      <c r="M4" s="225"/>
      <c r="N4" s="225"/>
      <c r="O4" s="225"/>
      <c r="P4" s="227"/>
    </row>
    <row r="5" spans="1:21">
      <c r="A5" s="223" t="s">
        <v>188</v>
      </c>
      <c r="B5" s="224"/>
      <c r="C5" s="224"/>
      <c r="D5" s="224"/>
      <c r="E5" s="224"/>
      <c r="F5" s="224"/>
      <c r="G5" s="224"/>
      <c r="H5" s="225"/>
      <c r="I5" s="225"/>
      <c r="J5" s="225"/>
      <c r="K5" s="225"/>
      <c r="L5" s="225"/>
      <c r="M5" s="225"/>
      <c r="N5" s="225"/>
      <c r="O5" s="225"/>
      <c r="P5" s="227"/>
    </row>
    <row r="6" spans="1:21">
      <c r="A6" s="228"/>
      <c r="B6" s="225"/>
      <c r="C6" s="225"/>
      <c r="D6" s="225"/>
      <c r="E6" s="225"/>
      <c r="F6" s="225"/>
      <c r="G6" s="225"/>
      <c r="H6" s="225"/>
      <c r="I6" s="225"/>
      <c r="J6" s="225"/>
      <c r="K6" s="225"/>
      <c r="L6" s="225"/>
      <c r="M6" s="225"/>
      <c r="N6" s="225"/>
      <c r="O6" s="225"/>
      <c r="P6" s="227"/>
    </row>
    <row r="7" spans="1:21" s="232" customFormat="1" ht="16.5">
      <c r="A7" s="229"/>
      <c r="B7" s="230" t="s">
        <v>189</v>
      </c>
      <c r="C7" s="230"/>
      <c r="D7" s="230"/>
      <c r="E7" s="230"/>
      <c r="F7" s="230" t="s">
        <v>190</v>
      </c>
      <c r="G7" s="230"/>
      <c r="H7" s="230"/>
      <c r="I7" s="230"/>
      <c r="J7" s="230"/>
      <c r="K7" s="230"/>
      <c r="L7" s="230"/>
      <c r="M7" s="230"/>
      <c r="N7" s="230"/>
      <c r="O7" s="230"/>
      <c r="P7" s="231"/>
    </row>
    <row r="8" spans="1:21" s="232" customFormat="1">
      <c r="A8" s="229"/>
      <c r="B8" s="230"/>
      <c r="C8" s="230"/>
      <c r="D8" s="230"/>
      <c r="E8" s="230"/>
      <c r="F8" s="230"/>
      <c r="G8" s="230"/>
      <c r="H8" s="230"/>
      <c r="I8" s="230"/>
      <c r="J8" s="230"/>
      <c r="K8" s="230"/>
      <c r="L8" s="230"/>
      <c r="M8" s="230"/>
      <c r="N8" s="230"/>
      <c r="O8" s="230"/>
      <c r="P8" s="231"/>
    </row>
    <row r="9" spans="1:21" s="232" customFormat="1" ht="15.75">
      <c r="A9" s="229"/>
      <c r="B9" s="233" t="s">
        <v>191</v>
      </c>
      <c r="C9" s="233"/>
      <c r="D9" s="230" t="s">
        <v>192</v>
      </c>
      <c r="E9" s="230"/>
      <c r="F9" s="230"/>
      <c r="G9" s="230"/>
      <c r="H9" s="234" t="s">
        <v>193</v>
      </c>
      <c r="I9" s="230"/>
      <c r="J9" s="230"/>
      <c r="K9" s="230" t="s">
        <v>194</v>
      </c>
      <c r="L9" s="230"/>
      <c r="M9" s="235">
        <v>1</v>
      </c>
      <c r="N9" s="230"/>
      <c r="O9" s="230"/>
      <c r="P9" s="231"/>
    </row>
    <row r="10" spans="1:21" s="232" customFormat="1" ht="16.5">
      <c r="A10" s="229"/>
      <c r="B10" s="230"/>
      <c r="C10" s="230"/>
      <c r="D10" s="230" t="s">
        <v>195</v>
      </c>
      <c r="E10" s="230"/>
      <c r="F10" s="236" t="s">
        <v>196</v>
      </c>
      <c r="G10" s="230"/>
      <c r="H10" s="234" t="s">
        <v>197</v>
      </c>
      <c r="I10" s="230"/>
      <c r="J10" s="230"/>
      <c r="K10" s="230"/>
      <c r="L10" s="230"/>
      <c r="M10" s="235"/>
      <c r="N10" s="230"/>
      <c r="O10" s="230"/>
      <c r="P10" s="231"/>
    </row>
    <row r="11" spans="1:21" s="232" customFormat="1">
      <c r="A11" s="229"/>
      <c r="B11" s="230"/>
      <c r="C11" s="230"/>
      <c r="D11" s="230" t="s">
        <v>198</v>
      </c>
      <c r="E11" s="230"/>
      <c r="F11" s="230"/>
      <c r="G11" s="230"/>
      <c r="H11" s="234" t="s">
        <v>199</v>
      </c>
      <c r="I11" s="237"/>
      <c r="J11" s="230"/>
      <c r="K11" s="230"/>
      <c r="L11" s="230"/>
      <c r="M11" s="235"/>
      <c r="N11" s="230"/>
      <c r="O11" s="230"/>
      <c r="P11" s="231"/>
    </row>
    <row r="12" spans="1:21" s="232" customFormat="1" ht="15.75">
      <c r="A12" s="229"/>
      <c r="B12" s="230" t="s">
        <v>200</v>
      </c>
      <c r="C12" s="230"/>
      <c r="D12" s="230" t="s">
        <v>201</v>
      </c>
      <c r="E12" s="230"/>
      <c r="F12" s="230"/>
      <c r="G12" s="230"/>
      <c r="H12" s="234" t="s">
        <v>202</v>
      </c>
      <c r="I12" s="237"/>
      <c r="J12" s="230" t="s">
        <v>203</v>
      </c>
      <c r="K12" s="230"/>
      <c r="L12" s="230"/>
      <c r="M12" s="230"/>
      <c r="N12" s="230"/>
      <c r="O12" s="230"/>
      <c r="P12" s="231"/>
    </row>
    <row r="13" spans="1:21" ht="6.75" customHeight="1">
      <c r="A13" s="228"/>
      <c r="B13" s="225"/>
      <c r="C13" s="225"/>
      <c r="D13" s="225"/>
      <c r="E13" s="225"/>
      <c r="F13" s="225"/>
      <c r="G13" s="225"/>
      <c r="H13" s="225"/>
      <c r="I13" s="225"/>
      <c r="J13" s="225"/>
      <c r="K13" s="225"/>
      <c r="L13" s="225"/>
      <c r="M13" s="220"/>
      <c r="N13" s="220"/>
      <c r="O13" s="225"/>
      <c r="P13" s="227"/>
    </row>
    <row r="14" spans="1:21" ht="13.5" customHeight="1">
      <c r="A14" s="229" t="s">
        <v>204</v>
      </c>
      <c r="B14" s="225"/>
      <c r="C14" s="225"/>
      <c r="D14" s="225"/>
      <c r="E14" s="225"/>
      <c r="F14" s="225"/>
      <c r="G14" s="225"/>
      <c r="H14" s="225"/>
      <c r="I14" s="225"/>
      <c r="J14" s="225"/>
      <c r="K14" s="225"/>
      <c r="L14" s="225"/>
      <c r="M14" s="238" t="s">
        <v>205</v>
      </c>
      <c r="N14" s="239" t="s">
        <v>206</v>
      </c>
      <c r="O14" s="240"/>
      <c r="P14" s="227"/>
      <c r="R14" s="241" t="s">
        <v>207</v>
      </c>
      <c r="S14" s="242" t="s">
        <v>208</v>
      </c>
      <c r="T14" s="242" t="s">
        <v>209</v>
      </c>
      <c r="U14" s="243" t="s">
        <v>210</v>
      </c>
    </row>
    <row r="15" spans="1:21" ht="16.5">
      <c r="A15" s="244" t="s">
        <v>211</v>
      </c>
      <c r="B15" s="245" t="s">
        <v>207</v>
      </c>
      <c r="C15" s="245"/>
      <c r="D15" s="242" t="s">
        <v>212</v>
      </c>
      <c r="E15" s="242" t="s">
        <v>208</v>
      </c>
      <c r="F15" s="242" t="s">
        <v>209</v>
      </c>
      <c r="G15" s="242" t="s">
        <v>213</v>
      </c>
      <c r="H15" s="246" t="s">
        <v>214</v>
      </c>
      <c r="I15" s="243" t="s">
        <v>215</v>
      </c>
      <c r="J15" s="243" t="s">
        <v>216</v>
      </c>
      <c r="K15" s="243" t="s">
        <v>210</v>
      </c>
      <c r="L15" s="247" t="s">
        <v>217</v>
      </c>
      <c r="M15" s="248" t="s">
        <v>218</v>
      </c>
      <c r="N15" s="248" t="s">
        <v>219</v>
      </c>
      <c r="O15" s="240"/>
      <c r="P15" s="227"/>
      <c r="R15" s="249">
        <v>0</v>
      </c>
      <c r="S15" s="250">
        <v>5.7</v>
      </c>
      <c r="T15" s="250">
        <v>0</v>
      </c>
      <c r="U15" s="250">
        <v>1</v>
      </c>
    </row>
    <row r="16" spans="1:21" s="232" customFormat="1" ht="15">
      <c r="A16" s="251">
        <v>1</v>
      </c>
      <c r="B16" s="252">
        <v>10</v>
      </c>
      <c r="C16" s="253" t="s">
        <v>220</v>
      </c>
      <c r="D16" s="254">
        <v>25</v>
      </c>
      <c r="E16" s="255">
        <f>VLOOKUP(B16,$R$14:$S$36,2,FALSE)</f>
        <v>9.6</v>
      </c>
      <c r="F16" s="255">
        <f>VLOOKUP(B16,$R$15:$T$36,3,FALSE)</f>
        <v>1.2</v>
      </c>
      <c r="G16" s="256">
        <f>80*(D16*E16+0.5*H16*$M$9*F16)</f>
        <v>20064</v>
      </c>
      <c r="H16" s="257">
        <v>18</v>
      </c>
      <c r="I16" s="257">
        <v>1</v>
      </c>
      <c r="J16" s="258">
        <f>H16*A16</f>
        <v>18</v>
      </c>
      <c r="K16" s="259">
        <f>VLOOKUP(B16,$R$15:$U$36,4,FALSE)</f>
        <v>2.7</v>
      </c>
      <c r="L16" s="260">
        <f>80*J16*K16</f>
        <v>3888.0000000000005</v>
      </c>
      <c r="M16" s="261">
        <f>L16+G16</f>
        <v>23952</v>
      </c>
      <c r="N16" s="260">
        <f>M16*I16*$M$9</f>
        <v>23952</v>
      </c>
      <c r="O16" s="262"/>
      <c r="P16" s="263"/>
      <c r="Q16" s="264"/>
      <c r="R16" s="249">
        <v>5</v>
      </c>
      <c r="S16" s="250">
        <v>7.3</v>
      </c>
      <c r="T16" s="250">
        <v>0.5</v>
      </c>
      <c r="U16" s="250">
        <v>1.6</v>
      </c>
    </row>
    <row r="17" spans="1:21" s="232" customFormat="1" ht="15">
      <c r="A17" s="251">
        <v>2</v>
      </c>
      <c r="B17" s="252">
        <v>10</v>
      </c>
      <c r="C17" s="253" t="s">
        <v>220</v>
      </c>
      <c r="D17" s="257">
        <v>25</v>
      </c>
      <c r="E17" s="255">
        <f t="shared" ref="E17:E32" si="0">VLOOKUP(B17,$R$14:$S$36,2,FALSE)</f>
        <v>9.6</v>
      </c>
      <c r="F17" s="255">
        <f t="shared" ref="F17:F32" si="1">VLOOKUP(B17,$R$15:$T$36,3,FALSE)</f>
        <v>1.2</v>
      </c>
      <c r="G17" s="256">
        <f t="shared" ref="G17:G33" si="2">80*(D17*E17+0.5*H17*$M$9*F17)</f>
        <v>20064</v>
      </c>
      <c r="H17" s="257">
        <v>18</v>
      </c>
      <c r="I17" s="257">
        <v>1</v>
      </c>
      <c r="J17" s="258">
        <f>H17*A17</f>
        <v>36</v>
      </c>
      <c r="K17" s="259">
        <f t="shared" ref="K17:K32" si="3">VLOOKUP(B17,$R$15:$U$36,4,FALSE)</f>
        <v>2.7</v>
      </c>
      <c r="L17" s="260">
        <f t="shared" ref="L17:L33" si="4">80*J17*K17</f>
        <v>7776.0000000000009</v>
      </c>
      <c r="M17" s="261">
        <f t="shared" ref="M17:M33" si="5">L17+G17</f>
        <v>27840</v>
      </c>
      <c r="N17" s="260">
        <f t="shared" ref="N17:N33" si="6">M17*I17*$M$9</f>
        <v>27840</v>
      </c>
      <c r="O17" s="262"/>
      <c r="P17" s="263"/>
      <c r="Q17" s="264"/>
      <c r="R17" s="249">
        <v>10</v>
      </c>
      <c r="S17" s="250">
        <v>9.6</v>
      </c>
      <c r="T17" s="250">
        <v>1.2</v>
      </c>
      <c r="U17" s="250">
        <v>2.7</v>
      </c>
    </row>
    <row r="18" spans="1:21" s="232" customFormat="1" ht="15">
      <c r="A18" s="251">
        <v>3</v>
      </c>
      <c r="B18" s="252">
        <v>10</v>
      </c>
      <c r="C18" s="253" t="s">
        <v>220</v>
      </c>
      <c r="D18" s="257">
        <v>25</v>
      </c>
      <c r="E18" s="255">
        <f t="shared" si="0"/>
        <v>9.6</v>
      </c>
      <c r="F18" s="255">
        <f t="shared" si="1"/>
        <v>1.2</v>
      </c>
      <c r="G18" s="256">
        <f t="shared" si="2"/>
        <v>20064</v>
      </c>
      <c r="H18" s="257">
        <v>18</v>
      </c>
      <c r="I18" s="257">
        <v>1</v>
      </c>
      <c r="J18" s="258">
        <f t="shared" ref="J18:J33" si="7">H18*A18</f>
        <v>54</v>
      </c>
      <c r="K18" s="259">
        <f t="shared" si="3"/>
        <v>2.7</v>
      </c>
      <c r="L18" s="260">
        <f t="shared" si="4"/>
        <v>11664</v>
      </c>
      <c r="M18" s="261">
        <f t="shared" si="5"/>
        <v>31728</v>
      </c>
      <c r="N18" s="260">
        <f t="shared" si="6"/>
        <v>31728</v>
      </c>
      <c r="O18" s="262"/>
      <c r="P18" s="263"/>
      <c r="Q18" s="264"/>
      <c r="R18" s="249">
        <v>15</v>
      </c>
      <c r="S18" s="250">
        <v>12.9</v>
      </c>
      <c r="T18" s="250">
        <v>2.5</v>
      </c>
      <c r="U18" s="250">
        <v>4.4000000000000004</v>
      </c>
    </row>
    <row r="19" spans="1:21" s="232" customFormat="1" ht="15">
      <c r="A19" s="251">
        <v>4</v>
      </c>
      <c r="B19" s="252">
        <v>10</v>
      </c>
      <c r="C19" s="253" t="s">
        <v>220</v>
      </c>
      <c r="D19" s="257">
        <v>25</v>
      </c>
      <c r="E19" s="255">
        <f t="shared" si="0"/>
        <v>9.6</v>
      </c>
      <c r="F19" s="255">
        <f t="shared" si="1"/>
        <v>1.2</v>
      </c>
      <c r="G19" s="256">
        <f t="shared" si="2"/>
        <v>20064</v>
      </c>
      <c r="H19" s="257">
        <v>18</v>
      </c>
      <c r="I19" s="257">
        <v>1</v>
      </c>
      <c r="J19" s="258">
        <f t="shared" si="7"/>
        <v>72</v>
      </c>
      <c r="K19" s="259">
        <f t="shared" si="3"/>
        <v>2.7</v>
      </c>
      <c r="L19" s="260">
        <f t="shared" si="4"/>
        <v>15552.000000000002</v>
      </c>
      <c r="M19" s="261">
        <f t="shared" si="5"/>
        <v>35616</v>
      </c>
      <c r="N19" s="260">
        <f t="shared" si="6"/>
        <v>35616</v>
      </c>
      <c r="O19" s="262"/>
      <c r="P19" s="263"/>
      <c r="Q19" s="264"/>
      <c r="R19" s="250">
        <v>16</v>
      </c>
      <c r="S19" s="250">
        <v>13.86</v>
      </c>
      <c r="T19" s="250">
        <f>(T21-T18)/(R21-R18)*(R19-R18)+T18</f>
        <v>3</v>
      </c>
      <c r="U19" s="250">
        <f>(U20-U17)/(S20-S17)*(S19-S17)+U17</f>
        <v>5.1126213592233007</v>
      </c>
    </row>
    <row r="20" spans="1:21" s="232" customFormat="1" ht="15">
      <c r="A20" s="251">
        <v>5</v>
      </c>
      <c r="B20" s="252">
        <v>10</v>
      </c>
      <c r="C20" s="253" t="s">
        <v>220</v>
      </c>
      <c r="D20" s="257">
        <v>25</v>
      </c>
      <c r="E20" s="255">
        <f t="shared" si="0"/>
        <v>9.6</v>
      </c>
      <c r="F20" s="255">
        <f t="shared" si="1"/>
        <v>1.2</v>
      </c>
      <c r="G20" s="256">
        <f t="shared" si="2"/>
        <v>20064</v>
      </c>
      <c r="H20" s="257">
        <v>18</v>
      </c>
      <c r="I20" s="257">
        <v>1</v>
      </c>
      <c r="J20" s="258">
        <f t="shared" si="7"/>
        <v>90</v>
      </c>
      <c r="K20" s="259">
        <f t="shared" si="3"/>
        <v>2.7</v>
      </c>
      <c r="L20" s="260">
        <f t="shared" si="4"/>
        <v>19440</v>
      </c>
      <c r="M20" s="261">
        <f t="shared" si="5"/>
        <v>39504</v>
      </c>
      <c r="N20" s="260">
        <f t="shared" si="6"/>
        <v>39504</v>
      </c>
      <c r="O20" s="262"/>
      <c r="P20" s="263"/>
      <c r="Q20" s="264"/>
      <c r="R20" s="250">
        <v>18</v>
      </c>
      <c r="S20" s="250">
        <v>15.78</v>
      </c>
      <c r="T20" s="250">
        <f>(T21-T18)/(R21-R18)*(R20-R18)+T18</f>
        <v>4</v>
      </c>
      <c r="U20" s="250">
        <f>(U21-U18)/(S21-S18)*(S20-S18)+U18</f>
        <v>6.2</v>
      </c>
    </row>
    <row r="21" spans="1:21" s="232" customFormat="1" ht="15">
      <c r="A21" s="251">
        <v>6</v>
      </c>
      <c r="B21" s="252">
        <v>10</v>
      </c>
      <c r="C21" s="253" t="s">
        <v>220</v>
      </c>
      <c r="D21" s="257">
        <v>25</v>
      </c>
      <c r="E21" s="255">
        <f t="shared" si="0"/>
        <v>9.6</v>
      </c>
      <c r="F21" s="255">
        <f t="shared" si="1"/>
        <v>1.2</v>
      </c>
      <c r="G21" s="256">
        <f t="shared" si="2"/>
        <v>20064</v>
      </c>
      <c r="H21" s="257">
        <v>18</v>
      </c>
      <c r="I21" s="257">
        <v>1</v>
      </c>
      <c r="J21" s="258">
        <f t="shared" si="7"/>
        <v>108</v>
      </c>
      <c r="K21" s="259">
        <f t="shared" si="3"/>
        <v>2.7</v>
      </c>
      <c r="L21" s="260">
        <f t="shared" si="4"/>
        <v>23328</v>
      </c>
      <c r="M21" s="261">
        <f t="shared" si="5"/>
        <v>43392</v>
      </c>
      <c r="N21" s="260">
        <f t="shared" si="6"/>
        <v>43392</v>
      </c>
      <c r="O21" s="262"/>
      <c r="P21" s="263"/>
      <c r="Q21" s="264"/>
      <c r="R21" s="249">
        <v>20</v>
      </c>
      <c r="S21" s="250">
        <v>17.7</v>
      </c>
      <c r="T21" s="250">
        <v>5</v>
      </c>
      <c r="U21" s="250">
        <v>7.4</v>
      </c>
    </row>
    <row r="22" spans="1:21" s="232" customFormat="1" ht="15">
      <c r="A22" s="251">
        <v>7</v>
      </c>
      <c r="B22" s="252">
        <v>10</v>
      </c>
      <c r="C22" s="253" t="s">
        <v>220</v>
      </c>
      <c r="D22" s="257">
        <v>25</v>
      </c>
      <c r="E22" s="255">
        <f t="shared" si="0"/>
        <v>9.6</v>
      </c>
      <c r="F22" s="255">
        <f t="shared" si="1"/>
        <v>1.2</v>
      </c>
      <c r="G22" s="256">
        <f t="shared" si="2"/>
        <v>20064</v>
      </c>
      <c r="H22" s="257">
        <v>18</v>
      </c>
      <c r="I22" s="257">
        <v>1</v>
      </c>
      <c r="J22" s="258">
        <f t="shared" si="7"/>
        <v>126</v>
      </c>
      <c r="K22" s="259">
        <f t="shared" si="3"/>
        <v>2.7</v>
      </c>
      <c r="L22" s="260">
        <f t="shared" si="4"/>
        <v>27216</v>
      </c>
      <c r="M22" s="261">
        <f t="shared" si="5"/>
        <v>47280</v>
      </c>
      <c r="N22" s="260">
        <f t="shared" si="6"/>
        <v>47280</v>
      </c>
      <c r="O22" s="262"/>
      <c r="P22" s="263"/>
      <c r="Q22" s="264"/>
      <c r="R22" s="249">
        <v>22</v>
      </c>
      <c r="S22" s="250">
        <v>20.66</v>
      </c>
      <c r="T22" s="250">
        <f>($T$25-$T$21)/($R$25-$R$21)*(R22-$R$21)+$T$21</f>
        <v>6.88</v>
      </c>
      <c r="U22" s="250">
        <f>($U$25-$U$21)/($R$25-$R$21)*(R22-$R$21)+$U$21</f>
        <v>9.52</v>
      </c>
    </row>
    <row r="23" spans="1:21" s="232" customFormat="1" ht="15">
      <c r="A23" s="251">
        <v>8</v>
      </c>
      <c r="B23" s="252">
        <v>10</v>
      </c>
      <c r="C23" s="253" t="s">
        <v>220</v>
      </c>
      <c r="D23" s="257">
        <v>25</v>
      </c>
      <c r="E23" s="255">
        <f t="shared" si="0"/>
        <v>9.6</v>
      </c>
      <c r="F23" s="255">
        <f t="shared" si="1"/>
        <v>1.2</v>
      </c>
      <c r="G23" s="256">
        <f t="shared" si="2"/>
        <v>20064</v>
      </c>
      <c r="H23" s="257">
        <v>18</v>
      </c>
      <c r="I23" s="257">
        <v>1</v>
      </c>
      <c r="J23" s="258">
        <f t="shared" si="7"/>
        <v>144</v>
      </c>
      <c r="K23" s="259">
        <f t="shared" si="3"/>
        <v>2.7</v>
      </c>
      <c r="L23" s="260">
        <f t="shared" si="4"/>
        <v>31104.000000000004</v>
      </c>
      <c r="M23" s="261">
        <f t="shared" si="5"/>
        <v>51168</v>
      </c>
      <c r="N23" s="260">
        <f t="shared" si="6"/>
        <v>51168</v>
      </c>
      <c r="O23" s="262"/>
      <c r="P23" s="263"/>
      <c r="Q23" s="264"/>
      <c r="R23" s="249">
        <v>23</v>
      </c>
      <c r="S23" s="250">
        <v>22.14</v>
      </c>
      <c r="T23" s="250">
        <f>($T$25-$T$21)/($R$25-$R$21)*(R23-$R$21)+$T$21</f>
        <v>7.8199999999999994</v>
      </c>
      <c r="U23" s="250">
        <f>($U$25-$U$21)/($R$25-$R$21)*(R23-$R$21)+$U$21</f>
        <v>10.58</v>
      </c>
    </row>
    <row r="24" spans="1:21" s="232" customFormat="1" ht="15">
      <c r="A24" s="251">
        <v>9</v>
      </c>
      <c r="B24" s="252">
        <v>10</v>
      </c>
      <c r="C24" s="253" t="s">
        <v>220</v>
      </c>
      <c r="D24" s="257">
        <v>25</v>
      </c>
      <c r="E24" s="255">
        <f t="shared" si="0"/>
        <v>9.6</v>
      </c>
      <c r="F24" s="255">
        <f t="shared" si="1"/>
        <v>1.2</v>
      </c>
      <c r="G24" s="256">
        <f t="shared" si="2"/>
        <v>20064</v>
      </c>
      <c r="H24" s="257">
        <v>18</v>
      </c>
      <c r="I24" s="257">
        <v>1</v>
      </c>
      <c r="J24" s="258">
        <f t="shared" si="7"/>
        <v>162</v>
      </c>
      <c r="K24" s="259">
        <f t="shared" si="3"/>
        <v>2.7</v>
      </c>
      <c r="L24" s="260">
        <f t="shared" si="4"/>
        <v>34992</v>
      </c>
      <c r="M24" s="261">
        <f t="shared" si="5"/>
        <v>55056</v>
      </c>
      <c r="N24" s="260">
        <f t="shared" si="6"/>
        <v>55056</v>
      </c>
      <c r="O24" s="262"/>
      <c r="P24" s="263"/>
      <c r="Q24" s="264"/>
      <c r="R24" s="249">
        <v>24</v>
      </c>
      <c r="S24" s="250">
        <v>23.62</v>
      </c>
      <c r="T24" s="250">
        <f>($T$25-$T$21)/($R$25-$R$21)*(R24-$R$21)+$T$21</f>
        <v>8.76</v>
      </c>
      <c r="U24" s="250">
        <f>($U$25-$U$21)/($R$25-$R$21)*(R24-$R$21)+$U$21</f>
        <v>11.64</v>
      </c>
    </row>
    <row r="25" spans="1:21" s="232" customFormat="1" ht="15">
      <c r="A25" s="251">
        <v>10</v>
      </c>
      <c r="B25" s="252">
        <v>10</v>
      </c>
      <c r="C25" s="253" t="s">
        <v>220</v>
      </c>
      <c r="D25" s="257">
        <v>25</v>
      </c>
      <c r="E25" s="255">
        <f t="shared" si="0"/>
        <v>9.6</v>
      </c>
      <c r="F25" s="255">
        <f t="shared" si="1"/>
        <v>1.2</v>
      </c>
      <c r="G25" s="256">
        <f t="shared" si="2"/>
        <v>20064</v>
      </c>
      <c r="H25" s="257">
        <v>18</v>
      </c>
      <c r="I25" s="257">
        <v>1</v>
      </c>
      <c r="J25" s="258">
        <f t="shared" si="7"/>
        <v>180</v>
      </c>
      <c r="K25" s="259">
        <f t="shared" si="3"/>
        <v>2.7</v>
      </c>
      <c r="L25" s="260">
        <f t="shared" si="4"/>
        <v>38880</v>
      </c>
      <c r="M25" s="261">
        <f t="shared" si="5"/>
        <v>58944</v>
      </c>
      <c r="N25" s="260">
        <f t="shared" si="6"/>
        <v>58944</v>
      </c>
      <c r="O25" s="262"/>
      <c r="P25" s="263"/>
      <c r="Q25" s="264"/>
      <c r="R25" s="249">
        <v>25</v>
      </c>
      <c r="S25" s="250">
        <v>25.1</v>
      </c>
      <c r="T25" s="250">
        <v>9.6999999999999993</v>
      </c>
      <c r="U25" s="250">
        <v>12.7</v>
      </c>
    </row>
    <row r="26" spans="1:21" s="232" customFormat="1" ht="15">
      <c r="A26" s="251">
        <v>11</v>
      </c>
      <c r="B26" s="252">
        <v>32</v>
      </c>
      <c r="C26" s="253" t="s">
        <v>220</v>
      </c>
      <c r="D26" s="257">
        <v>100</v>
      </c>
      <c r="E26" s="255">
        <f t="shared" si="0"/>
        <v>42.48</v>
      </c>
      <c r="F26" s="255">
        <f t="shared" si="1"/>
        <v>27.85</v>
      </c>
      <c r="G26" s="256">
        <f t="shared" si="2"/>
        <v>361006</v>
      </c>
      <c r="H26" s="257">
        <v>19</v>
      </c>
      <c r="I26" s="257">
        <v>1</v>
      </c>
      <c r="J26" s="258">
        <f t="shared" si="7"/>
        <v>209</v>
      </c>
      <c r="K26" s="259">
        <f t="shared" si="3"/>
        <v>29.5</v>
      </c>
      <c r="L26" s="260">
        <f t="shared" si="4"/>
        <v>493240</v>
      </c>
      <c r="M26" s="261">
        <f t="shared" si="5"/>
        <v>854246</v>
      </c>
      <c r="N26" s="260">
        <f t="shared" si="6"/>
        <v>854246</v>
      </c>
      <c r="O26" s="262"/>
      <c r="P26" s="263"/>
      <c r="Q26" s="264"/>
      <c r="R26" s="249">
        <v>26</v>
      </c>
      <c r="S26" s="250">
        <v>27.52</v>
      </c>
      <c r="T26" s="250">
        <f>($T$29-$T$25)/($R$29-$R$25)*(R26-$R$25)+$T$25</f>
        <v>11.7</v>
      </c>
      <c r="U26" s="250">
        <f>($U$29-$U$25)/($R$29-$R$25)*(R26-$R$25)+$U$25</f>
        <v>14.66</v>
      </c>
    </row>
    <row r="27" spans="1:21" s="232" customFormat="1" ht="15">
      <c r="A27" s="251">
        <v>12</v>
      </c>
      <c r="B27" s="252">
        <v>32</v>
      </c>
      <c r="C27" s="253" t="s">
        <v>220</v>
      </c>
      <c r="D27" s="257">
        <v>100</v>
      </c>
      <c r="E27" s="255">
        <f t="shared" si="0"/>
        <v>42.48</v>
      </c>
      <c r="F27" s="255">
        <f t="shared" si="1"/>
        <v>27.85</v>
      </c>
      <c r="G27" s="256">
        <f t="shared" si="2"/>
        <v>361006</v>
      </c>
      <c r="H27" s="257">
        <v>19</v>
      </c>
      <c r="I27" s="257">
        <v>1</v>
      </c>
      <c r="J27" s="258">
        <f t="shared" si="7"/>
        <v>228</v>
      </c>
      <c r="K27" s="259">
        <f t="shared" si="3"/>
        <v>29.5</v>
      </c>
      <c r="L27" s="260">
        <f t="shared" si="4"/>
        <v>538080</v>
      </c>
      <c r="M27" s="261">
        <f t="shared" si="5"/>
        <v>899086</v>
      </c>
      <c r="N27" s="260">
        <f t="shared" si="6"/>
        <v>899086</v>
      </c>
      <c r="O27" s="262"/>
      <c r="P27" s="263"/>
      <c r="Q27" s="264"/>
      <c r="R27" s="249">
        <v>27</v>
      </c>
      <c r="S27" s="250">
        <v>29.94</v>
      </c>
      <c r="T27" s="250">
        <f>($T$29-$T$25)/($R$29-$R$25)*(R27-$R$25)+$T$25</f>
        <v>13.7</v>
      </c>
      <c r="U27" s="250">
        <f>($U$29-$U$25)/($R$29-$R$25)*(R27-$R$25)+$U$25</f>
        <v>16.62</v>
      </c>
    </row>
    <row r="28" spans="1:21" s="232" customFormat="1" ht="15">
      <c r="A28" s="251">
        <v>13</v>
      </c>
      <c r="B28" s="252">
        <v>32</v>
      </c>
      <c r="C28" s="253" t="s">
        <v>220</v>
      </c>
      <c r="D28" s="257">
        <v>100</v>
      </c>
      <c r="E28" s="255">
        <f t="shared" si="0"/>
        <v>42.48</v>
      </c>
      <c r="F28" s="255">
        <f t="shared" si="1"/>
        <v>27.85</v>
      </c>
      <c r="G28" s="256">
        <f t="shared" si="2"/>
        <v>361006</v>
      </c>
      <c r="H28" s="257">
        <v>19</v>
      </c>
      <c r="I28" s="257">
        <v>1</v>
      </c>
      <c r="J28" s="258">
        <f t="shared" si="7"/>
        <v>247</v>
      </c>
      <c r="K28" s="259">
        <f t="shared" si="3"/>
        <v>29.5</v>
      </c>
      <c r="L28" s="260">
        <f t="shared" si="4"/>
        <v>582920</v>
      </c>
      <c r="M28" s="261">
        <f t="shared" si="5"/>
        <v>943926</v>
      </c>
      <c r="N28" s="260">
        <f t="shared" si="6"/>
        <v>943926</v>
      </c>
      <c r="O28" s="262"/>
      <c r="P28" s="263"/>
      <c r="Q28" s="264"/>
      <c r="R28" s="249">
        <v>28</v>
      </c>
      <c r="S28" s="250">
        <v>32.36</v>
      </c>
      <c r="T28" s="250">
        <f>($T$29-$T$25)/($R$29-$R$25)*(R28-$R$25)+$T$25</f>
        <v>15.7</v>
      </c>
      <c r="U28" s="250">
        <f>($U$29-$U$25)/($R$29-$R$25)*(R28-$R$25)+$U$25</f>
        <v>18.579999999999998</v>
      </c>
    </row>
    <row r="29" spans="1:21" s="232" customFormat="1" ht="15">
      <c r="A29" s="251">
        <v>14</v>
      </c>
      <c r="B29" s="252">
        <v>32</v>
      </c>
      <c r="C29" s="253" t="s">
        <v>220</v>
      </c>
      <c r="D29" s="257">
        <v>100</v>
      </c>
      <c r="E29" s="255">
        <f t="shared" si="0"/>
        <v>42.48</v>
      </c>
      <c r="F29" s="255">
        <f t="shared" si="1"/>
        <v>27.85</v>
      </c>
      <c r="G29" s="256">
        <f t="shared" si="2"/>
        <v>361006</v>
      </c>
      <c r="H29" s="257">
        <v>19</v>
      </c>
      <c r="I29" s="257">
        <v>1</v>
      </c>
      <c r="J29" s="258">
        <f t="shared" si="7"/>
        <v>266</v>
      </c>
      <c r="K29" s="259">
        <f t="shared" si="3"/>
        <v>29.5</v>
      </c>
      <c r="L29" s="260">
        <f t="shared" si="4"/>
        <v>627760</v>
      </c>
      <c r="M29" s="261">
        <f t="shared" si="5"/>
        <v>988766</v>
      </c>
      <c r="N29" s="260">
        <f t="shared" si="6"/>
        <v>988766</v>
      </c>
      <c r="O29" s="262"/>
      <c r="P29" s="263"/>
      <c r="Q29" s="264"/>
      <c r="R29" s="250">
        <v>30</v>
      </c>
      <c r="S29" s="250">
        <v>37.200000000000003</v>
      </c>
      <c r="T29" s="250">
        <v>19.7</v>
      </c>
      <c r="U29" s="250">
        <v>22.5</v>
      </c>
    </row>
    <row r="30" spans="1:21" s="232" customFormat="1" ht="15">
      <c r="A30" s="265">
        <v>15</v>
      </c>
      <c r="B30" s="266">
        <v>32</v>
      </c>
      <c r="C30" s="253" t="s">
        <v>220</v>
      </c>
      <c r="D30" s="267">
        <v>100</v>
      </c>
      <c r="E30" s="255">
        <f t="shared" si="0"/>
        <v>42.48</v>
      </c>
      <c r="F30" s="255">
        <f t="shared" si="1"/>
        <v>27.85</v>
      </c>
      <c r="G30" s="256">
        <f t="shared" si="2"/>
        <v>361006</v>
      </c>
      <c r="H30" s="267">
        <v>19</v>
      </c>
      <c r="I30" s="267">
        <v>1</v>
      </c>
      <c r="J30" s="258">
        <f t="shared" si="7"/>
        <v>285</v>
      </c>
      <c r="K30" s="259">
        <f t="shared" si="3"/>
        <v>29.5</v>
      </c>
      <c r="L30" s="260">
        <f t="shared" si="4"/>
        <v>672600</v>
      </c>
      <c r="M30" s="261">
        <f t="shared" si="5"/>
        <v>1033606</v>
      </c>
      <c r="N30" s="260">
        <f t="shared" si="6"/>
        <v>1033606</v>
      </c>
      <c r="O30" s="268"/>
      <c r="P30" s="231"/>
      <c r="R30" s="250">
        <v>32</v>
      </c>
      <c r="S30" s="250">
        <v>42.48</v>
      </c>
      <c r="T30" s="250">
        <v>27.85</v>
      </c>
      <c r="U30" s="250">
        <v>29.5</v>
      </c>
    </row>
    <row r="31" spans="1:21" s="232" customFormat="1" ht="15">
      <c r="A31" s="265">
        <v>16</v>
      </c>
      <c r="B31" s="266">
        <v>32</v>
      </c>
      <c r="C31" s="253" t="s">
        <v>220</v>
      </c>
      <c r="D31" s="267">
        <v>100</v>
      </c>
      <c r="E31" s="255">
        <f t="shared" si="0"/>
        <v>42.48</v>
      </c>
      <c r="F31" s="255">
        <f t="shared" si="1"/>
        <v>27.85</v>
      </c>
      <c r="G31" s="256">
        <f t="shared" si="2"/>
        <v>362120</v>
      </c>
      <c r="H31" s="267">
        <v>20</v>
      </c>
      <c r="I31" s="267">
        <v>1</v>
      </c>
      <c r="J31" s="258">
        <f t="shared" si="7"/>
        <v>320</v>
      </c>
      <c r="K31" s="259">
        <f t="shared" si="3"/>
        <v>29.5</v>
      </c>
      <c r="L31" s="260">
        <f t="shared" si="4"/>
        <v>755200</v>
      </c>
      <c r="M31" s="261">
        <f t="shared" si="5"/>
        <v>1117320</v>
      </c>
      <c r="N31" s="260">
        <f t="shared" si="6"/>
        <v>1117320</v>
      </c>
      <c r="O31" s="230"/>
      <c r="P31" s="231"/>
      <c r="R31" s="250">
        <v>34</v>
      </c>
      <c r="S31" s="250">
        <v>52.6</v>
      </c>
      <c r="T31" s="250">
        <v>36</v>
      </c>
      <c r="U31" s="250">
        <v>36.5</v>
      </c>
    </row>
    <row r="32" spans="1:21" s="232" customFormat="1" ht="15">
      <c r="A32" s="265">
        <v>17</v>
      </c>
      <c r="B32" s="266">
        <v>32</v>
      </c>
      <c r="C32" s="253" t="s">
        <v>220</v>
      </c>
      <c r="D32" s="267">
        <v>100</v>
      </c>
      <c r="E32" s="255">
        <f t="shared" si="0"/>
        <v>42.48</v>
      </c>
      <c r="F32" s="255">
        <f t="shared" si="1"/>
        <v>27.85</v>
      </c>
      <c r="G32" s="256">
        <f t="shared" si="2"/>
        <v>362120</v>
      </c>
      <c r="H32" s="267">
        <v>20</v>
      </c>
      <c r="I32" s="267">
        <v>1</v>
      </c>
      <c r="J32" s="258">
        <f t="shared" si="7"/>
        <v>340</v>
      </c>
      <c r="K32" s="259">
        <f t="shared" si="3"/>
        <v>29.5</v>
      </c>
      <c r="L32" s="260">
        <f t="shared" si="4"/>
        <v>802400</v>
      </c>
      <c r="M32" s="261">
        <f t="shared" si="5"/>
        <v>1164520</v>
      </c>
      <c r="N32" s="260">
        <f t="shared" si="6"/>
        <v>1164520</v>
      </c>
      <c r="O32" s="230"/>
      <c r="P32" s="231"/>
      <c r="R32" s="250">
        <v>35</v>
      </c>
      <c r="S32" s="250">
        <v>57.8</v>
      </c>
      <c r="T32" s="250">
        <v>42.4</v>
      </c>
      <c r="U32" s="250">
        <v>41.4</v>
      </c>
    </row>
    <row r="33" spans="1:21" s="232" customFormat="1" ht="15">
      <c r="A33" s="265">
        <v>18</v>
      </c>
      <c r="B33" s="266">
        <v>32</v>
      </c>
      <c r="C33" s="253" t="s">
        <v>220</v>
      </c>
      <c r="D33" s="267">
        <v>100</v>
      </c>
      <c r="E33" s="255">
        <f>VLOOKUP(B33,$R$14:$S$36,2,FALSE)</f>
        <v>42.48</v>
      </c>
      <c r="F33" s="255">
        <f>VLOOKUP(B33,$R$15:$T$36,3,FALSE)</f>
        <v>27.85</v>
      </c>
      <c r="G33" s="256">
        <f t="shared" si="2"/>
        <v>362120</v>
      </c>
      <c r="H33" s="267">
        <v>20</v>
      </c>
      <c r="I33" s="267">
        <v>1</v>
      </c>
      <c r="J33" s="258">
        <f t="shared" si="7"/>
        <v>360</v>
      </c>
      <c r="K33" s="259">
        <f>VLOOKUP(B33,$R$15:$U$36,4,FALSE)</f>
        <v>29.5</v>
      </c>
      <c r="L33" s="260">
        <f t="shared" si="4"/>
        <v>849600</v>
      </c>
      <c r="M33" s="261">
        <f t="shared" si="5"/>
        <v>1211720</v>
      </c>
      <c r="N33" s="260">
        <f t="shared" si="6"/>
        <v>1211720</v>
      </c>
      <c r="O33" s="230"/>
      <c r="P33" s="231"/>
      <c r="R33" s="250">
        <v>36</v>
      </c>
      <c r="S33" s="250">
        <v>65.38</v>
      </c>
      <c r="T33" s="250">
        <v>54</v>
      </c>
      <c r="U33" s="250">
        <v>49.38</v>
      </c>
    </row>
    <row r="34" spans="1:21" s="232" customFormat="1">
      <c r="A34" s="229"/>
      <c r="J34" s="230"/>
      <c r="K34" s="230"/>
      <c r="L34" s="230"/>
      <c r="M34" s="230"/>
      <c r="N34" s="230"/>
      <c r="O34" s="230"/>
      <c r="P34" s="231"/>
      <c r="R34" s="250">
        <v>38</v>
      </c>
      <c r="S34" s="250">
        <v>50.5</v>
      </c>
      <c r="T34" s="250">
        <v>77.2</v>
      </c>
      <c r="U34" s="250">
        <v>65.34</v>
      </c>
    </row>
    <row r="35" spans="1:21" s="232" customFormat="1">
      <c r="A35" s="229"/>
      <c r="B35" s="230"/>
      <c r="C35" s="230"/>
      <c r="D35" s="230"/>
      <c r="E35" s="230"/>
      <c r="F35" s="230"/>
      <c r="G35" s="230"/>
      <c r="H35" s="230"/>
      <c r="I35" s="230"/>
      <c r="J35" s="230"/>
      <c r="K35" s="230"/>
      <c r="L35" s="230"/>
      <c r="M35" s="230"/>
      <c r="N35" s="230"/>
      <c r="O35" s="230"/>
      <c r="P35" s="231"/>
      <c r="R35" s="250">
        <v>40</v>
      </c>
      <c r="S35" s="250">
        <v>95.7</v>
      </c>
      <c r="T35" s="250">
        <v>100.4</v>
      </c>
      <c r="U35" s="250">
        <v>81.3</v>
      </c>
    </row>
    <row r="36" spans="1:21" s="232" customFormat="1">
      <c r="A36" s="229"/>
      <c r="B36" s="230" t="s">
        <v>221</v>
      </c>
      <c r="C36" s="230"/>
      <c r="D36" s="230"/>
      <c r="E36" s="230"/>
      <c r="F36" s="230"/>
      <c r="G36" s="230"/>
      <c r="H36" s="230"/>
      <c r="I36" s="230"/>
      <c r="J36" s="230"/>
      <c r="K36" s="230"/>
      <c r="L36" s="230"/>
      <c r="M36" s="230"/>
      <c r="N36" s="230"/>
      <c r="O36" s="230"/>
      <c r="P36" s="231"/>
      <c r="R36" s="250">
        <v>45</v>
      </c>
      <c r="S36" s="250">
        <v>172.3</v>
      </c>
      <c r="T36" s="250">
        <v>297.5</v>
      </c>
      <c r="U36" s="250">
        <v>173.3</v>
      </c>
    </row>
    <row r="37" spans="1:21" s="232" customFormat="1">
      <c r="A37" s="229"/>
      <c r="B37" s="230" t="s">
        <v>222</v>
      </c>
      <c r="C37" s="230"/>
      <c r="D37" s="230"/>
      <c r="E37" s="230"/>
      <c r="F37" s="230"/>
      <c r="G37" s="230"/>
      <c r="H37" s="230"/>
      <c r="I37" s="230"/>
      <c r="J37" s="230"/>
      <c r="K37" s="230"/>
      <c r="L37" s="230"/>
      <c r="M37" s="230"/>
      <c r="N37" s="230"/>
      <c r="O37" s="230"/>
      <c r="P37" s="231"/>
      <c r="R37" s="269"/>
      <c r="S37" s="270"/>
      <c r="T37" s="270"/>
      <c r="U37" s="270"/>
    </row>
    <row r="38" spans="1:21" s="232" customFormat="1" ht="13.5" thickBot="1">
      <c r="A38" s="271"/>
      <c r="B38" s="272"/>
      <c r="C38" s="272"/>
      <c r="D38" s="272"/>
      <c r="E38" s="272"/>
      <c r="F38" s="272"/>
      <c r="G38" s="272"/>
      <c r="H38" s="272"/>
      <c r="I38" s="272"/>
      <c r="J38" s="272"/>
      <c r="K38" s="272"/>
      <c r="L38" s="272"/>
      <c r="M38" s="272"/>
      <c r="N38" s="272"/>
      <c r="O38" s="272"/>
      <c r="P38" s="273"/>
      <c r="R38" s="269"/>
      <c r="S38" s="270"/>
      <c r="T38" s="270"/>
      <c r="U38" s="270"/>
    </row>
    <row r="39" spans="1:21" s="232" customFormat="1">
      <c r="S39" s="274"/>
      <c r="T39" s="274"/>
      <c r="U39" s="274"/>
    </row>
    <row r="40" spans="1:21">
      <c r="A40" s="275" t="s">
        <v>223</v>
      </c>
      <c r="S40" s="276"/>
      <c r="T40" s="276"/>
      <c r="U40" s="276"/>
    </row>
    <row r="41" spans="1:21">
      <c r="B41" s="277" t="s">
        <v>224</v>
      </c>
      <c r="C41" s="215" t="s">
        <v>1</v>
      </c>
      <c r="D41" s="215" t="s">
        <v>225</v>
      </c>
      <c r="S41" s="276"/>
      <c r="T41" s="276"/>
      <c r="U41" s="276"/>
    </row>
    <row r="42" spans="1:21">
      <c r="B42" s="277" t="s">
        <v>226</v>
      </c>
      <c r="C42" s="215" t="s">
        <v>1</v>
      </c>
      <c r="D42" s="215" t="s">
        <v>227</v>
      </c>
      <c r="S42" s="276"/>
      <c r="T42" s="276"/>
      <c r="U42" s="276"/>
    </row>
    <row r="43" spans="1:21">
      <c r="B43" s="277" t="s">
        <v>228</v>
      </c>
      <c r="C43" s="215" t="s">
        <v>1</v>
      </c>
      <c r="D43" s="215" t="s">
        <v>229</v>
      </c>
    </row>
    <row r="44" spans="1:21" ht="20.25">
      <c r="B44" s="277" t="s">
        <v>80</v>
      </c>
      <c r="C44" s="215" t="s">
        <v>1</v>
      </c>
      <c r="D44" s="215" t="s">
        <v>230</v>
      </c>
      <c r="R44" s="278"/>
      <c r="S44" s="278"/>
      <c r="T44" s="278"/>
      <c r="U44" s="278"/>
    </row>
    <row r="45" spans="1:21" ht="15.75">
      <c r="B45" s="279" t="s">
        <v>212</v>
      </c>
      <c r="C45" s="215" t="s">
        <v>1</v>
      </c>
      <c r="D45" s="215" t="s">
        <v>231</v>
      </c>
    </row>
    <row r="46" spans="1:21" ht="15.75">
      <c r="B46" s="279" t="s">
        <v>232</v>
      </c>
      <c r="C46" s="215" t="s">
        <v>1</v>
      </c>
      <c r="D46" s="215" t="s">
        <v>233</v>
      </c>
    </row>
    <row r="47" spans="1:21" ht="15.75">
      <c r="B47" s="280" t="s">
        <v>214</v>
      </c>
      <c r="C47" s="215" t="s">
        <v>1</v>
      </c>
      <c r="D47" s="215" t="s">
        <v>234</v>
      </c>
    </row>
    <row r="48" spans="1:21">
      <c r="B48" s="281" t="s">
        <v>215</v>
      </c>
      <c r="C48" s="215" t="s">
        <v>1</v>
      </c>
      <c r="D48" s="215" t="s">
        <v>235</v>
      </c>
    </row>
    <row r="49" spans="2:9" ht="15.75">
      <c r="B49" s="281" t="s">
        <v>216</v>
      </c>
      <c r="C49" s="215" t="s">
        <v>1</v>
      </c>
      <c r="D49" s="282" t="s">
        <v>236</v>
      </c>
      <c r="E49" s="282"/>
      <c r="F49" s="282"/>
      <c r="G49" s="282"/>
      <c r="H49" s="282"/>
      <c r="I49" s="282"/>
    </row>
    <row r="50" spans="2:9">
      <c r="B50" s="280" t="s">
        <v>207</v>
      </c>
      <c r="C50" s="215" t="s">
        <v>1</v>
      </c>
      <c r="D50" s="215" t="s">
        <v>237</v>
      </c>
    </row>
  </sheetData>
  <mergeCells count="1">
    <mergeCell ref="D49:I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J65"/>
  <sheetViews>
    <sheetView zoomScale="64" zoomScaleNormal="64" workbookViewId="0">
      <selection activeCell="B51" sqref="B51"/>
    </sheetView>
  </sheetViews>
  <sheetFormatPr defaultRowHeight="20.25"/>
  <cols>
    <col min="2" max="2" width="13.75" customWidth="1"/>
  </cols>
  <sheetData>
    <row r="3" spans="1:8">
      <c r="A3" s="130" t="s">
        <v>117</v>
      </c>
      <c r="B3" s="131"/>
      <c r="C3" s="131"/>
      <c r="D3" s="131"/>
    </row>
    <row r="4" spans="1:8">
      <c r="A4" s="132"/>
      <c r="B4" s="133" t="s">
        <v>118</v>
      </c>
      <c r="C4" s="134">
        <v>20</v>
      </c>
      <c r="D4" s="135" t="s">
        <v>119</v>
      </c>
      <c r="F4" t="s">
        <v>120</v>
      </c>
    </row>
    <row r="5" spans="1:8">
      <c r="A5" s="148" t="s">
        <v>121</v>
      </c>
      <c r="C5" s="136">
        <v>20</v>
      </c>
      <c r="D5" s="135" t="s">
        <v>119</v>
      </c>
    </row>
    <row r="6" spans="1:8">
      <c r="A6" s="143" t="s">
        <v>122</v>
      </c>
      <c r="C6" s="136">
        <v>0.12</v>
      </c>
      <c r="D6" s="135" t="s">
        <v>123</v>
      </c>
    </row>
    <row r="7" spans="1:8">
      <c r="A7" s="149" t="s">
        <v>124</v>
      </c>
      <c r="C7" s="137">
        <v>0.13500000000000001</v>
      </c>
      <c r="D7" s="135" t="s">
        <v>123</v>
      </c>
    </row>
    <row r="8" spans="1:8">
      <c r="A8" s="143" t="s">
        <v>125</v>
      </c>
      <c r="C8" s="138">
        <v>30</v>
      </c>
      <c r="D8" s="135" t="s">
        <v>126</v>
      </c>
    </row>
    <row r="9" spans="1:8">
      <c r="A9" s="143" t="s">
        <v>127</v>
      </c>
      <c r="C9" s="138">
        <v>30</v>
      </c>
      <c r="D9" s="135" t="s">
        <v>126</v>
      </c>
    </row>
    <row r="10" spans="1:8">
      <c r="A10" s="147" t="s">
        <v>128</v>
      </c>
      <c r="C10" s="136" t="s">
        <v>129</v>
      </c>
      <c r="D10" s="135"/>
    </row>
    <row r="11" spans="1:8">
      <c r="A11" s="143" t="s">
        <v>130</v>
      </c>
      <c r="C11" s="139">
        <v>0</v>
      </c>
      <c r="D11" s="140" t="s">
        <v>131</v>
      </c>
    </row>
    <row r="14" spans="1:8">
      <c r="A14" t="s">
        <v>132</v>
      </c>
      <c r="G14" s="141">
        <v>10</v>
      </c>
      <c r="H14" s="142" t="s">
        <v>133</v>
      </c>
    </row>
    <row r="15" spans="1:8">
      <c r="A15" s="142" t="s">
        <v>134</v>
      </c>
      <c r="G15" s="141">
        <v>18</v>
      </c>
      <c r="H15" s="142" t="s">
        <v>133</v>
      </c>
    </row>
    <row r="16" spans="1:8">
      <c r="A16" s="143" t="s">
        <v>135</v>
      </c>
      <c r="G16" s="141">
        <v>12</v>
      </c>
      <c r="H16" s="142" t="s">
        <v>133</v>
      </c>
    </row>
    <row r="17" spans="1:8">
      <c r="A17" t="s">
        <v>136</v>
      </c>
      <c r="G17" s="141">
        <v>2.13</v>
      </c>
      <c r="H17" s="142" t="s">
        <v>4</v>
      </c>
    </row>
    <row r="18" spans="1:8">
      <c r="A18" t="s">
        <v>137</v>
      </c>
      <c r="G18" s="141">
        <v>3</v>
      </c>
      <c r="H18" s="142" t="s">
        <v>4</v>
      </c>
    </row>
    <row r="19" spans="1:8">
      <c r="A19" s="142" t="s">
        <v>138</v>
      </c>
      <c r="G19" s="141">
        <v>20</v>
      </c>
      <c r="H19" s="142" t="s">
        <v>139</v>
      </c>
    </row>
    <row r="20" spans="1:8">
      <c r="A20" s="142" t="s">
        <v>140</v>
      </c>
      <c r="G20">
        <f>SIN(RADIANS(G19))</f>
        <v>0.34202014332566871</v>
      </c>
    </row>
    <row r="21" spans="1:8">
      <c r="A21" s="142" t="s">
        <v>141</v>
      </c>
      <c r="G21">
        <f>(1-G20)/(1+G20)</f>
        <v>0.49029059656570229</v>
      </c>
    </row>
    <row r="22" spans="1:8">
      <c r="A22" s="142" t="s">
        <v>142</v>
      </c>
      <c r="G22">
        <f>1-G20</f>
        <v>0.65797985667433134</v>
      </c>
    </row>
    <row r="23" spans="1:8">
      <c r="A23" s="142" t="s">
        <v>143</v>
      </c>
      <c r="G23">
        <f>G14*G17</f>
        <v>21.299999999999997</v>
      </c>
      <c r="H23" s="142" t="s">
        <v>144</v>
      </c>
    </row>
    <row r="24" spans="1:8">
      <c r="A24" s="142" t="s">
        <v>145</v>
      </c>
      <c r="G24">
        <f>G21*G15*G18</f>
        <v>26.475692214547927</v>
      </c>
      <c r="H24" s="142" t="s">
        <v>144</v>
      </c>
    </row>
    <row r="25" spans="1:8">
      <c r="A25" s="142" t="s">
        <v>146</v>
      </c>
      <c r="G25">
        <f>G16*G22</f>
        <v>7.8957582800919761</v>
      </c>
      <c r="H25" s="142" t="s">
        <v>144</v>
      </c>
    </row>
    <row r="26" spans="1:8">
      <c r="A26" s="142" t="s">
        <v>147</v>
      </c>
      <c r="G26">
        <f>SUM(G24:G25)</f>
        <v>34.371450494639902</v>
      </c>
      <c r="H26" s="142" t="s">
        <v>144</v>
      </c>
    </row>
    <row r="28" spans="1:8">
      <c r="A28" s="142" t="s">
        <v>148</v>
      </c>
    </row>
    <row r="29" spans="1:8">
      <c r="A29" s="142" t="s">
        <v>149</v>
      </c>
    </row>
    <row r="30" spans="1:8">
      <c r="A30" s="142" t="s">
        <v>150</v>
      </c>
      <c r="B30">
        <v>0</v>
      </c>
    </row>
    <row r="31" spans="1:8">
      <c r="A31" s="142" t="s">
        <v>151</v>
      </c>
      <c r="B31">
        <v>0</v>
      </c>
    </row>
    <row r="32" spans="1:8">
      <c r="A32" s="142" t="s">
        <v>152</v>
      </c>
      <c r="B32" s="142" t="s">
        <v>153</v>
      </c>
    </row>
    <row r="33" spans="1:8">
      <c r="A33" s="142"/>
      <c r="B33" s="142"/>
    </row>
    <row r="34" spans="1:8">
      <c r="A34" s="142" t="s">
        <v>154</v>
      </c>
    </row>
    <row r="35" spans="1:8">
      <c r="A35" s="142" t="s">
        <v>155</v>
      </c>
      <c r="F35" s="142" t="s">
        <v>156</v>
      </c>
      <c r="G35">
        <v>1</v>
      </c>
    </row>
    <row r="36" spans="1:8">
      <c r="A36" s="142" t="s">
        <v>157</v>
      </c>
      <c r="B36">
        <v>0</v>
      </c>
      <c r="F36" s="142" t="s">
        <v>158</v>
      </c>
      <c r="G36">
        <f>G23</f>
        <v>21.299999999999997</v>
      </c>
      <c r="H36" s="142" t="s">
        <v>159</v>
      </c>
    </row>
    <row r="37" spans="1:8">
      <c r="A37" s="150" t="s">
        <v>160</v>
      </c>
      <c r="B37" s="151"/>
      <c r="C37" s="151"/>
      <c r="D37" s="151"/>
      <c r="E37" s="151"/>
      <c r="F37" s="151"/>
      <c r="G37" s="151">
        <f>G36-G35*B36</f>
        <v>21.299999999999997</v>
      </c>
      <c r="H37" s="150" t="s">
        <v>159</v>
      </c>
    </row>
    <row r="40" spans="1:8">
      <c r="A40" s="142" t="s">
        <v>157</v>
      </c>
      <c r="B40">
        <f>G17</f>
        <v>2.13</v>
      </c>
      <c r="F40" s="142" t="s">
        <v>158</v>
      </c>
      <c r="G40">
        <v>0</v>
      </c>
      <c r="H40" s="142" t="s">
        <v>159</v>
      </c>
    </row>
    <row r="41" spans="1:8">
      <c r="A41" s="150" t="s">
        <v>156</v>
      </c>
      <c r="B41" s="151"/>
      <c r="C41" s="151"/>
      <c r="D41" s="151"/>
      <c r="E41" s="151"/>
      <c r="F41" s="151"/>
      <c r="G41" s="151">
        <f>(G40-G37)/B40</f>
        <v>-10</v>
      </c>
      <c r="H41" s="150" t="s">
        <v>159</v>
      </c>
    </row>
    <row r="45" spans="1:8">
      <c r="A45" s="142" t="s">
        <v>161</v>
      </c>
      <c r="F45" s="142" t="s">
        <v>156</v>
      </c>
      <c r="G45">
        <v>1</v>
      </c>
    </row>
    <row r="46" spans="1:8">
      <c r="A46" s="142" t="s">
        <v>157</v>
      </c>
      <c r="B46">
        <v>0</v>
      </c>
      <c r="F46" s="142" t="s">
        <v>158</v>
      </c>
      <c r="G46">
        <v>24</v>
      </c>
      <c r="H46" s="142" t="s">
        <v>159</v>
      </c>
    </row>
    <row r="47" spans="1:8">
      <c r="A47" s="150" t="s">
        <v>160</v>
      </c>
      <c r="B47" s="151"/>
      <c r="C47" s="151"/>
      <c r="D47" s="151"/>
      <c r="E47" s="151"/>
      <c r="F47" s="151"/>
      <c r="G47" s="151">
        <f>G46-G45*B46</f>
        <v>24</v>
      </c>
      <c r="H47" s="150" t="s">
        <v>159</v>
      </c>
    </row>
    <row r="50" spans="1:10">
      <c r="A50" s="142" t="s">
        <v>157</v>
      </c>
      <c r="B50">
        <f>G17</f>
        <v>2.13</v>
      </c>
      <c r="F50" s="142" t="s">
        <v>158</v>
      </c>
      <c r="G50">
        <f>G25</f>
        <v>7.8957582800919761</v>
      </c>
      <c r="H50" s="142" t="s">
        <v>159</v>
      </c>
    </row>
    <row r="51" spans="1:10">
      <c r="A51" s="150" t="s">
        <v>156</v>
      </c>
      <c r="B51" s="151"/>
      <c r="C51" s="151"/>
      <c r="D51" s="151"/>
      <c r="E51" s="151"/>
      <c r="F51" s="151"/>
      <c r="G51" s="151">
        <f>(G50-G47)/B50</f>
        <v>-7.5606768638065844</v>
      </c>
      <c r="H51" s="150" t="s">
        <v>159</v>
      </c>
    </row>
    <row r="53" spans="1:10">
      <c r="A53" s="201" t="s">
        <v>162</v>
      </c>
      <c r="B53" s="202"/>
      <c r="C53" s="202"/>
      <c r="D53" s="203"/>
      <c r="E53" s="144"/>
      <c r="F53" s="144"/>
      <c r="G53" s="144"/>
      <c r="H53" s="146"/>
      <c r="I53" s="144"/>
      <c r="J53" s="144"/>
    </row>
    <row r="54" spans="1:10">
      <c r="A54" s="152" t="s">
        <v>163</v>
      </c>
      <c r="B54" s="153"/>
      <c r="C54" s="153" t="s">
        <v>168</v>
      </c>
      <c r="D54" s="153"/>
      <c r="E54" s="144"/>
      <c r="F54" s="144"/>
      <c r="G54" s="144"/>
      <c r="H54" s="146"/>
      <c r="I54" s="144"/>
      <c r="J54" s="144"/>
    </row>
    <row r="55" spans="1:10">
      <c r="A55" s="152" t="s">
        <v>164</v>
      </c>
      <c r="B55" s="153"/>
      <c r="C55" s="153" t="s">
        <v>165</v>
      </c>
      <c r="D55" s="153"/>
      <c r="E55" s="144"/>
      <c r="F55" s="144"/>
      <c r="G55" s="144"/>
      <c r="H55" s="146"/>
      <c r="I55" s="144"/>
      <c r="J55" s="144"/>
    </row>
    <row r="56" spans="1:10">
      <c r="A56" s="152" t="s">
        <v>166</v>
      </c>
      <c r="B56" s="153"/>
      <c r="C56" s="153" t="s">
        <v>167</v>
      </c>
      <c r="D56" s="153"/>
      <c r="E56" s="144"/>
      <c r="F56" s="144"/>
      <c r="G56" s="145"/>
      <c r="H56" s="146"/>
      <c r="I56" s="144"/>
      <c r="J56" s="144"/>
    </row>
    <row r="57" spans="1:10">
      <c r="A57" s="201" t="s">
        <v>170</v>
      </c>
      <c r="B57" s="202"/>
      <c r="C57" s="202"/>
      <c r="D57" s="203"/>
      <c r="E57" s="144"/>
      <c r="F57" s="144"/>
      <c r="G57" s="144"/>
      <c r="H57" s="146"/>
      <c r="I57" s="144"/>
      <c r="J57" s="144"/>
    </row>
    <row r="58" spans="1:10">
      <c r="A58" s="152" t="s">
        <v>169</v>
      </c>
      <c r="B58" s="153"/>
      <c r="C58" s="155" t="s">
        <v>171</v>
      </c>
      <c r="D58" s="153"/>
      <c r="E58" s="144"/>
      <c r="F58" s="144"/>
      <c r="G58" s="144"/>
      <c r="H58" s="146"/>
      <c r="I58" s="144"/>
      <c r="J58" s="144"/>
    </row>
    <row r="59" spans="1:10">
      <c r="A59" s="154" t="s">
        <v>172</v>
      </c>
      <c r="B59" s="153"/>
      <c r="C59" s="155" t="s">
        <v>173</v>
      </c>
      <c r="D59" s="153"/>
      <c r="E59" s="144"/>
      <c r="F59" s="144"/>
      <c r="G59" s="144"/>
      <c r="H59" s="144"/>
      <c r="I59" s="144"/>
      <c r="J59" s="144"/>
    </row>
    <row r="60" spans="1:10">
      <c r="A60" s="154" t="s">
        <v>174</v>
      </c>
      <c r="B60" s="153"/>
      <c r="C60" s="155" t="s">
        <v>175</v>
      </c>
      <c r="D60" s="153"/>
      <c r="E60" s="144"/>
      <c r="F60" s="144"/>
      <c r="G60" s="144"/>
      <c r="H60" s="144"/>
      <c r="I60" s="144"/>
      <c r="J60" s="144"/>
    </row>
    <row r="61" spans="1:10">
      <c r="A61" s="154" t="s">
        <v>176</v>
      </c>
      <c r="B61" s="153"/>
      <c r="C61" s="155" t="s">
        <v>177</v>
      </c>
      <c r="D61" s="153"/>
      <c r="E61" s="144"/>
      <c r="F61" s="144"/>
      <c r="G61" s="144"/>
      <c r="H61" s="144"/>
      <c r="I61" s="144"/>
      <c r="J61" s="144"/>
    </row>
    <row r="62" spans="1:10">
      <c r="A62" s="154" t="s">
        <v>178</v>
      </c>
      <c r="B62" s="153"/>
      <c r="C62" s="155" t="s">
        <v>179</v>
      </c>
      <c r="D62" s="153"/>
      <c r="E62" s="144"/>
      <c r="F62" s="144"/>
      <c r="G62" s="144"/>
      <c r="H62" s="144"/>
      <c r="I62" s="144"/>
      <c r="J62" s="144"/>
    </row>
    <row r="63" spans="1:10">
      <c r="A63" s="153"/>
      <c r="B63" s="153"/>
      <c r="C63" s="153"/>
      <c r="D63" s="153"/>
      <c r="E63" s="144"/>
      <c r="F63" s="144"/>
      <c r="G63" s="144"/>
      <c r="H63" s="144"/>
      <c r="I63" s="144"/>
      <c r="J63" s="144"/>
    </row>
    <row r="64" spans="1:10" ht="42.75" customHeight="1">
      <c r="A64" s="204" t="s">
        <v>180</v>
      </c>
      <c r="B64" s="205"/>
      <c r="C64" s="205"/>
      <c r="D64" s="206"/>
      <c r="E64" s="144"/>
      <c r="F64" s="144"/>
      <c r="G64" s="144"/>
      <c r="H64" s="144"/>
      <c r="I64" s="144"/>
      <c r="J64" s="144"/>
    </row>
    <row r="65" spans="1:4">
      <c r="A65" s="154" t="s">
        <v>181</v>
      </c>
      <c r="B65" s="153"/>
      <c r="C65" s="155" t="s">
        <v>182</v>
      </c>
      <c r="D65" s="153"/>
    </row>
  </sheetData>
  <mergeCells count="3">
    <mergeCell ref="A53:D53"/>
    <mergeCell ref="A57:D57"/>
    <mergeCell ref="A64:D64"/>
  </mergeCells>
  <dataValidations count="8">
    <dataValidation allowBlank="1" showInputMessage="1" showErrorMessage="1" prompt="Soil Friction Angle below water table._x000a_See table at right for representative values of Internal Friction Angle of for various soils." sqref="C65544 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WVK983048 WLO983048 WBS983048 VRW983048 VIA983048 UYE983048 UOI983048 UEM983048 TUQ983048 TKU983048 TAY983048 SRC983048 SHG983048 RXK983048 RNO983048 RDS983048 QTW983048 QKA983048 QAE983048 PQI983048 PGM983048 OWQ983048 OMU983048 OCY983048 NTC983048 NJG983048 MZK983048 MPO983048 MFS983048 LVW983048 LMA983048 LCE983048 KSI983048 KIM983048 JYQ983048 JOU983048 JEY983048 IVC983048 ILG983048 IBK983048 HRO983048 HHS983048 GXW983048 GOA983048 GEE983048 FUI983048 FKM983048 FAQ983048 EQU983048 EGY983048 DXC983048 DNG983048 DDK983048 CTO983048 CJS983048 BZW983048 BQA983048 BGE983048 AWI983048 AMM983048 ACQ983048 SU983048 IY983048 C983048 WVK917512 WLO917512 WBS917512 VRW917512 VIA917512 UYE917512 UOI917512 UEM917512 TUQ917512 TKU917512 TAY917512 SRC917512 SHG917512 RXK917512 RNO917512 RDS917512 QTW917512 QKA917512 QAE917512 PQI917512 PGM917512 OWQ917512 OMU917512 OCY917512 NTC917512 NJG917512 MZK917512 MPO917512 MFS917512 LVW917512 LMA917512 LCE917512 KSI917512 KIM917512 JYQ917512 JOU917512 JEY917512 IVC917512 ILG917512 IBK917512 HRO917512 HHS917512 GXW917512 GOA917512 GEE917512 FUI917512 FKM917512 FAQ917512 EQU917512 EGY917512 DXC917512 DNG917512 DDK917512 CTO917512 CJS917512 BZW917512 BQA917512 BGE917512 AWI917512 AMM917512 ACQ917512 SU917512 IY917512 C917512 WVK851976 WLO851976 WBS851976 VRW851976 VIA851976 UYE851976 UOI851976 UEM851976 TUQ851976 TKU851976 TAY851976 SRC851976 SHG851976 RXK851976 RNO851976 RDS851976 QTW851976 QKA851976 QAE851976 PQI851976 PGM851976 OWQ851976 OMU851976 OCY851976 NTC851976 NJG851976 MZK851976 MPO851976 MFS851976 LVW851976 LMA851976 LCE851976 KSI851976 KIM851976 JYQ851976 JOU851976 JEY851976 IVC851976 ILG851976 IBK851976 HRO851976 HHS851976 GXW851976 GOA851976 GEE851976 FUI851976 FKM851976 FAQ851976 EQU851976 EGY851976 DXC851976 DNG851976 DDK851976 CTO851976 CJS851976 BZW851976 BQA851976 BGE851976 AWI851976 AMM851976 ACQ851976 SU851976 IY851976 C851976 WVK786440 WLO786440 WBS786440 VRW786440 VIA786440 UYE786440 UOI786440 UEM786440 TUQ786440 TKU786440 TAY786440 SRC786440 SHG786440 RXK786440 RNO786440 RDS786440 QTW786440 QKA786440 QAE786440 PQI786440 PGM786440 OWQ786440 OMU786440 OCY786440 NTC786440 NJG786440 MZK786440 MPO786440 MFS786440 LVW786440 LMA786440 LCE786440 KSI786440 KIM786440 JYQ786440 JOU786440 JEY786440 IVC786440 ILG786440 IBK786440 HRO786440 HHS786440 GXW786440 GOA786440 GEE786440 FUI786440 FKM786440 FAQ786440 EQU786440 EGY786440 DXC786440 DNG786440 DDK786440 CTO786440 CJS786440 BZW786440 BQA786440 BGE786440 AWI786440 AMM786440 ACQ786440 SU786440 IY786440 C786440 WVK720904 WLO720904 WBS720904 VRW720904 VIA720904 UYE720904 UOI720904 UEM720904 TUQ720904 TKU720904 TAY720904 SRC720904 SHG720904 RXK720904 RNO720904 RDS720904 QTW720904 QKA720904 QAE720904 PQI720904 PGM720904 OWQ720904 OMU720904 OCY720904 NTC720904 NJG720904 MZK720904 MPO720904 MFS720904 LVW720904 LMA720904 LCE720904 KSI720904 KIM720904 JYQ720904 JOU720904 JEY720904 IVC720904 ILG720904 IBK720904 HRO720904 HHS720904 GXW720904 GOA720904 GEE720904 FUI720904 FKM720904 FAQ720904 EQU720904 EGY720904 DXC720904 DNG720904 DDK720904 CTO720904 CJS720904 BZW720904 BQA720904 BGE720904 AWI720904 AMM720904 ACQ720904 SU720904 IY720904 C720904 WVK655368 WLO655368 WBS655368 VRW655368 VIA655368 UYE655368 UOI655368 UEM655368 TUQ655368 TKU655368 TAY655368 SRC655368 SHG655368 RXK655368 RNO655368 RDS655368 QTW655368 QKA655368 QAE655368 PQI655368 PGM655368 OWQ655368 OMU655368 OCY655368 NTC655368 NJG655368 MZK655368 MPO655368 MFS655368 LVW655368 LMA655368 LCE655368 KSI655368 KIM655368 JYQ655368 JOU655368 JEY655368 IVC655368 ILG655368 IBK655368 HRO655368 HHS655368 GXW655368 GOA655368 GEE655368 FUI655368 FKM655368 FAQ655368 EQU655368 EGY655368 DXC655368 DNG655368 DDK655368 CTO655368 CJS655368 BZW655368 BQA655368 BGE655368 AWI655368 AMM655368 ACQ655368 SU655368 IY655368 C655368 WVK589832 WLO589832 WBS589832 VRW589832 VIA589832 UYE589832 UOI589832 UEM589832 TUQ589832 TKU589832 TAY589832 SRC589832 SHG589832 RXK589832 RNO589832 RDS589832 QTW589832 QKA589832 QAE589832 PQI589832 PGM589832 OWQ589832 OMU589832 OCY589832 NTC589832 NJG589832 MZK589832 MPO589832 MFS589832 LVW589832 LMA589832 LCE589832 KSI589832 KIM589832 JYQ589832 JOU589832 JEY589832 IVC589832 ILG589832 IBK589832 HRO589832 HHS589832 GXW589832 GOA589832 GEE589832 FUI589832 FKM589832 FAQ589832 EQU589832 EGY589832 DXC589832 DNG589832 DDK589832 CTO589832 CJS589832 BZW589832 BQA589832 BGE589832 AWI589832 AMM589832 ACQ589832 SU589832 IY589832 C589832 WVK524296 WLO524296 WBS524296 VRW524296 VIA524296 UYE524296 UOI524296 UEM524296 TUQ524296 TKU524296 TAY524296 SRC524296 SHG524296 RXK524296 RNO524296 RDS524296 QTW524296 QKA524296 QAE524296 PQI524296 PGM524296 OWQ524296 OMU524296 OCY524296 NTC524296 NJG524296 MZK524296 MPO524296 MFS524296 LVW524296 LMA524296 LCE524296 KSI524296 KIM524296 JYQ524296 JOU524296 JEY524296 IVC524296 ILG524296 IBK524296 HRO524296 HHS524296 GXW524296 GOA524296 GEE524296 FUI524296 FKM524296 FAQ524296 EQU524296 EGY524296 DXC524296 DNG524296 DDK524296 CTO524296 CJS524296 BZW524296 BQA524296 BGE524296 AWI524296 AMM524296 ACQ524296 SU524296 IY524296 C524296 WVK458760 WLO458760 WBS458760 VRW458760 VIA458760 UYE458760 UOI458760 UEM458760 TUQ458760 TKU458760 TAY458760 SRC458760 SHG458760 RXK458760 RNO458760 RDS458760 QTW458760 QKA458760 QAE458760 PQI458760 PGM458760 OWQ458760 OMU458760 OCY458760 NTC458760 NJG458760 MZK458760 MPO458760 MFS458760 LVW458760 LMA458760 LCE458760 KSI458760 KIM458760 JYQ458760 JOU458760 JEY458760 IVC458760 ILG458760 IBK458760 HRO458760 HHS458760 GXW458760 GOA458760 GEE458760 FUI458760 FKM458760 FAQ458760 EQU458760 EGY458760 DXC458760 DNG458760 DDK458760 CTO458760 CJS458760 BZW458760 BQA458760 BGE458760 AWI458760 AMM458760 ACQ458760 SU458760 IY458760 C458760 WVK393224 WLO393224 WBS393224 VRW393224 VIA393224 UYE393224 UOI393224 UEM393224 TUQ393224 TKU393224 TAY393224 SRC393224 SHG393224 RXK393224 RNO393224 RDS393224 QTW393224 QKA393224 QAE393224 PQI393224 PGM393224 OWQ393224 OMU393224 OCY393224 NTC393224 NJG393224 MZK393224 MPO393224 MFS393224 LVW393224 LMA393224 LCE393224 KSI393224 KIM393224 JYQ393224 JOU393224 JEY393224 IVC393224 ILG393224 IBK393224 HRO393224 HHS393224 GXW393224 GOA393224 GEE393224 FUI393224 FKM393224 FAQ393224 EQU393224 EGY393224 DXC393224 DNG393224 DDK393224 CTO393224 CJS393224 BZW393224 BQA393224 BGE393224 AWI393224 AMM393224 ACQ393224 SU393224 IY393224 C393224 WVK327688 WLO327688 WBS327688 VRW327688 VIA327688 UYE327688 UOI327688 UEM327688 TUQ327688 TKU327688 TAY327688 SRC327688 SHG327688 RXK327688 RNO327688 RDS327688 QTW327688 QKA327688 QAE327688 PQI327688 PGM327688 OWQ327688 OMU327688 OCY327688 NTC327688 NJG327688 MZK327688 MPO327688 MFS327688 LVW327688 LMA327688 LCE327688 KSI327688 KIM327688 JYQ327688 JOU327688 JEY327688 IVC327688 ILG327688 IBK327688 HRO327688 HHS327688 GXW327688 GOA327688 GEE327688 FUI327688 FKM327688 FAQ327688 EQU327688 EGY327688 DXC327688 DNG327688 DDK327688 CTO327688 CJS327688 BZW327688 BQA327688 BGE327688 AWI327688 AMM327688 ACQ327688 SU327688 IY327688 C327688 WVK262152 WLO262152 WBS262152 VRW262152 VIA262152 UYE262152 UOI262152 UEM262152 TUQ262152 TKU262152 TAY262152 SRC262152 SHG262152 RXK262152 RNO262152 RDS262152 QTW262152 QKA262152 QAE262152 PQI262152 PGM262152 OWQ262152 OMU262152 OCY262152 NTC262152 NJG262152 MZK262152 MPO262152 MFS262152 LVW262152 LMA262152 LCE262152 KSI262152 KIM262152 JYQ262152 JOU262152 JEY262152 IVC262152 ILG262152 IBK262152 HRO262152 HHS262152 GXW262152 GOA262152 GEE262152 FUI262152 FKM262152 FAQ262152 EQU262152 EGY262152 DXC262152 DNG262152 DDK262152 CTO262152 CJS262152 BZW262152 BQA262152 BGE262152 AWI262152 AMM262152 ACQ262152 SU262152 IY262152 C262152 WVK196616 WLO196616 WBS196616 VRW196616 VIA196616 UYE196616 UOI196616 UEM196616 TUQ196616 TKU196616 TAY196616 SRC196616 SHG196616 RXK196616 RNO196616 RDS196616 QTW196616 QKA196616 QAE196616 PQI196616 PGM196616 OWQ196616 OMU196616 OCY196616 NTC196616 NJG196616 MZK196616 MPO196616 MFS196616 LVW196616 LMA196616 LCE196616 KSI196616 KIM196616 JYQ196616 JOU196616 JEY196616 IVC196616 ILG196616 IBK196616 HRO196616 HHS196616 GXW196616 GOA196616 GEE196616 FUI196616 FKM196616 FAQ196616 EQU196616 EGY196616 DXC196616 DNG196616 DDK196616 CTO196616 CJS196616 BZW196616 BQA196616 BGE196616 AWI196616 AMM196616 ACQ196616 SU196616 IY196616 C196616 WVK131080 WLO131080 WBS131080 VRW131080 VIA131080 UYE131080 UOI131080 UEM131080 TUQ131080 TKU131080 TAY131080 SRC131080 SHG131080 RXK131080 RNO131080 RDS131080 QTW131080 QKA131080 QAE131080 PQI131080 PGM131080 OWQ131080 OMU131080 OCY131080 NTC131080 NJG131080 MZK131080 MPO131080 MFS131080 LVW131080 LMA131080 LCE131080 KSI131080 KIM131080 JYQ131080 JOU131080 JEY131080 IVC131080 ILG131080 IBK131080 HRO131080 HHS131080 GXW131080 GOA131080 GEE131080 FUI131080 FKM131080 FAQ131080 EQU131080 EGY131080 DXC131080 DNG131080 DDK131080 CTO131080 CJS131080 BZW131080 BQA131080 BGE131080 AWI131080 AMM131080 ACQ131080 SU131080 IY131080 C131080 WVK65544 WLO65544 WBS65544 VRW65544 VIA65544 UYE65544 UOI65544 UEM65544 TUQ65544 TKU65544 TAY65544 SRC65544 SHG65544 RXK65544 RNO65544 RDS65544 QTW65544 QKA65544 QAE65544 PQI65544 PGM65544 OWQ65544 OMU65544 OCY65544 NTC65544 NJG65544 MZK65544 MPO65544 MFS65544 LVW65544 LMA65544 LCE65544 KSI65544 KIM65544 JYQ65544 JOU65544 JEY65544 IVC65544 ILG65544 IBK65544 HRO65544 HHS65544 GXW65544 GOA65544 GEE65544 FUI65544 FKM65544 FAQ65544 EQU65544 EGY65544 DXC65544 DNG65544 DDK65544 CTO65544 CJS65544 BZW65544 BQA65544 BGE65544 AWI65544 AMM65544 ACQ65544 SU65544 IY65544"/>
    <dataValidation allowBlank="1" showInputMessage="1" showErrorMessage="1" prompt="Q = uniformly distributed surcharge load at top of wall." sqref="C65546 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WVK983050 WLO983050 WBS983050 VRW983050 VIA983050 UYE983050 UOI983050 UEM983050 TUQ983050 TKU983050 TAY983050 SRC983050 SHG983050 RXK983050 RNO983050 RDS983050 QTW983050 QKA983050 QAE983050 PQI983050 PGM983050 OWQ983050 OMU983050 OCY983050 NTC983050 NJG983050 MZK983050 MPO983050 MFS983050 LVW983050 LMA983050 LCE983050 KSI983050 KIM983050 JYQ983050 JOU983050 JEY983050 IVC983050 ILG983050 IBK983050 HRO983050 HHS983050 GXW983050 GOA983050 GEE983050 FUI983050 FKM983050 FAQ983050 EQU983050 EGY983050 DXC983050 DNG983050 DDK983050 CTO983050 CJS983050 BZW983050 BQA983050 BGE983050 AWI983050 AMM983050 ACQ983050 SU983050 IY983050 C983050 WVK917514 WLO917514 WBS917514 VRW917514 VIA917514 UYE917514 UOI917514 UEM917514 TUQ917514 TKU917514 TAY917514 SRC917514 SHG917514 RXK917514 RNO917514 RDS917514 QTW917514 QKA917514 QAE917514 PQI917514 PGM917514 OWQ917514 OMU917514 OCY917514 NTC917514 NJG917514 MZK917514 MPO917514 MFS917514 LVW917514 LMA917514 LCE917514 KSI917514 KIM917514 JYQ917514 JOU917514 JEY917514 IVC917514 ILG917514 IBK917514 HRO917514 HHS917514 GXW917514 GOA917514 GEE917514 FUI917514 FKM917514 FAQ917514 EQU917514 EGY917514 DXC917514 DNG917514 DDK917514 CTO917514 CJS917514 BZW917514 BQA917514 BGE917514 AWI917514 AMM917514 ACQ917514 SU917514 IY917514 C917514 WVK851978 WLO851978 WBS851978 VRW851978 VIA851978 UYE851978 UOI851978 UEM851978 TUQ851978 TKU851978 TAY851978 SRC851978 SHG851978 RXK851978 RNO851978 RDS851978 QTW851978 QKA851978 QAE851978 PQI851978 PGM851978 OWQ851978 OMU851978 OCY851978 NTC851978 NJG851978 MZK851978 MPO851978 MFS851978 LVW851978 LMA851978 LCE851978 KSI851978 KIM851978 JYQ851978 JOU851978 JEY851978 IVC851978 ILG851978 IBK851978 HRO851978 HHS851978 GXW851978 GOA851978 GEE851978 FUI851978 FKM851978 FAQ851978 EQU851978 EGY851978 DXC851978 DNG851978 DDK851978 CTO851978 CJS851978 BZW851978 BQA851978 BGE851978 AWI851978 AMM851978 ACQ851978 SU851978 IY851978 C851978 WVK786442 WLO786442 WBS786442 VRW786442 VIA786442 UYE786442 UOI786442 UEM786442 TUQ786442 TKU786442 TAY786442 SRC786442 SHG786442 RXK786442 RNO786442 RDS786442 QTW786442 QKA786442 QAE786442 PQI786442 PGM786442 OWQ786442 OMU786442 OCY786442 NTC786442 NJG786442 MZK786442 MPO786442 MFS786442 LVW786442 LMA786442 LCE786442 KSI786442 KIM786442 JYQ786442 JOU786442 JEY786442 IVC786442 ILG786442 IBK786442 HRO786442 HHS786442 GXW786442 GOA786442 GEE786442 FUI786442 FKM786442 FAQ786442 EQU786442 EGY786442 DXC786442 DNG786442 DDK786442 CTO786442 CJS786442 BZW786442 BQA786442 BGE786442 AWI786442 AMM786442 ACQ786442 SU786442 IY786442 C786442 WVK720906 WLO720906 WBS720906 VRW720906 VIA720906 UYE720906 UOI720906 UEM720906 TUQ720906 TKU720906 TAY720906 SRC720906 SHG720906 RXK720906 RNO720906 RDS720906 QTW720906 QKA720906 QAE720906 PQI720906 PGM720906 OWQ720906 OMU720906 OCY720906 NTC720906 NJG720906 MZK720906 MPO720906 MFS720906 LVW720906 LMA720906 LCE720906 KSI720906 KIM720906 JYQ720906 JOU720906 JEY720906 IVC720906 ILG720906 IBK720906 HRO720906 HHS720906 GXW720906 GOA720906 GEE720906 FUI720906 FKM720906 FAQ720906 EQU720906 EGY720906 DXC720906 DNG720906 DDK720906 CTO720906 CJS720906 BZW720906 BQA720906 BGE720906 AWI720906 AMM720906 ACQ720906 SU720906 IY720906 C720906 WVK655370 WLO655370 WBS655370 VRW655370 VIA655370 UYE655370 UOI655370 UEM655370 TUQ655370 TKU655370 TAY655370 SRC655370 SHG655370 RXK655370 RNO655370 RDS655370 QTW655370 QKA655370 QAE655370 PQI655370 PGM655370 OWQ655370 OMU655370 OCY655370 NTC655370 NJG655370 MZK655370 MPO655370 MFS655370 LVW655370 LMA655370 LCE655370 KSI655370 KIM655370 JYQ655370 JOU655370 JEY655370 IVC655370 ILG655370 IBK655370 HRO655370 HHS655370 GXW655370 GOA655370 GEE655370 FUI655370 FKM655370 FAQ655370 EQU655370 EGY655370 DXC655370 DNG655370 DDK655370 CTO655370 CJS655370 BZW655370 BQA655370 BGE655370 AWI655370 AMM655370 ACQ655370 SU655370 IY655370 C655370 WVK589834 WLO589834 WBS589834 VRW589834 VIA589834 UYE589834 UOI589834 UEM589834 TUQ589834 TKU589834 TAY589834 SRC589834 SHG589834 RXK589834 RNO589834 RDS589834 QTW589834 QKA589834 QAE589834 PQI589834 PGM589834 OWQ589834 OMU589834 OCY589834 NTC589834 NJG589834 MZK589834 MPO589834 MFS589834 LVW589834 LMA589834 LCE589834 KSI589834 KIM589834 JYQ589834 JOU589834 JEY589834 IVC589834 ILG589834 IBK589834 HRO589834 HHS589834 GXW589834 GOA589834 GEE589834 FUI589834 FKM589834 FAQ589834 EQU589834 EGY589834 DXC589834 DNG589834 DDK589834 CTO589834 CJS589834 BZW589834 BQA589834 BGE589834 AWI589834 AMM589834 ACQ589834 SU589834 IY589834 C589834 WVK524298 WLO524298 WBS524298 VRW524298 VIA524298 UYE524298 UOI524298 UEM524298 TUQ524298 TKU524298 TAY524298 SRC524298 SHG524298 RXK524298 RNO524298 RDS524298 QTW524298 QKA524298 QAE524298 PQI524298 PGM524298 OWQ524298 OMU524298 OCY524298 NTC524298 NJG524298 MZK524298 MPO524298 MFS524298 LVW524298 LMA524298 LCE524298 KSI524298 KIM524298 JYQ524298 JOU524298 JEY524298 IVC524298 ILG524298 IBK524298 HRO524298 HHS524298 GXW524298 GOA524298 GEE524298 FUI524298 FKM524298 FAQ524298 EQU524298 EGY524298 DXC524298 DNG524298 DDK524298 CTO524298 CJS524298 BZW524298 BQA524298 BGE524298 AWI524298 AMM524298 ACQ524298 SU524298 IY524298 C524298 WVK458762 WLO458762 WBS458762 VRW458762 VIA458762 UYE458762 UOI458762 UEM458762 TUQ458762 TKU458762 TAY458762 SRC458762 SHG458762 RXK458762 RNO458762 RDS458762 QTW458762 QKA458762 QAE458762 PQI458762 PGM458762 OWQ458762 OMU458762 OCY458762 NTC458762 NJG458762 MZK458762 MPO458762 MFS458762 LVW458762 LMA458762 LCE458762 KSI458762 KIM458762 JYQ458762 JOU458762 JEY458762 IVC458762 ILG458762 IBK458762 HRO458762 HHS458762 GXW458762 GOA458762 GEE458762 FUI458762 FKM458762 FAQ458762 EQU458762 EGY458762 DXC458762 DNG458762 DDK458762 CTO458762 CJS458762 BZW458762 BQA458762 BGE458762 AWI458762 AMM458762 ACQ458762 SU458762 IY458762 C458762 WVK393226 WLO393226 WBS393226 VRW393226 VIA393226 UYE393226 UOI393226 UEM393226 TUQ393226 TKU393226 TAY393226 SRC393226 SHG393226 RXK393226 RNO393226 RDS393226 QTW393226 QKA393226 QAE393226 PQI393226 PGM393226 OWQ393226 OMU393226 OCY393226 NTC393226 NJG393226 MZK393226 MPO393226 MFS393226 LVW393226 LMA393226 LCE393226 KSI393226 KIM393226 JYQ393226 JOU393226 JEY393226 IVC393226 ILG393226 IBK393226 HRO393226 HHS393226 GXW393226 GOA393226 GEE393226 FUI393226 FKM393226 FAQ393226 EQU393226 EGY393226 DXC393226 DNG393226 DDK393226 CTO393226 CJS393226 BZW393226 BQA393226 BGE393226 AWI393226 AMM393226 ACQ393226 SU393226 IY393226 C393226 WVK327690 WLO327690 WBS327690 VRW327690 VIA327690 UYE327690 UOI327690 UEM327690 TUQ327690 TKU327690 TAY327690 SRC327690 SHG327690 RXK327690 RNO327690 RDS327690 QTW327690 QKA327690 QAE327690 PQI327690 PGM327690 OWQ327690 OMU327690 OCY327690 NTC327690 NJG327690 MZK327690 MPO327690 MFS327690 LVW327690 LMA327690 LCE327690 KSI327690 KIM327690 JYQ327690 JOU327690 JEY327690 IVC327690 ILG327690 IBK327690 HRO327690 HHS327690 GXW327690 GOA327690 GEE327690 FUI327690 FKM327690 FAQ327690 EQU327690 EGY327690 DXC327690 DNG327690 DDK327690 CTO327690 CJS327690 BZW327690 BQA327690 BGE327690 AWI327690 AMM327690 ACQ327690 SU327690 IY327690 C327690 WVK262154 WLO262154 WBS262154 VRW262154 VIA262154 UYE262154 UOI262154 UEM262154 TUQ262154 TKU262154 TAY262154 SRC262154 SHG262154 RXK262154 RNO262154 RDS262154 QTW262154 QKA262154 QAE262154 PQI262154 PGM262154 OWQ262154 OMU262154 OCY262154 NTC262154 NJG262154 MZK262154 MPO262154 MFS262154 LVW262154 LMA262154 LCE262154 KSI262154 KIM262154 JYQ262154 JOU262154 JEY262154 IVC262154 ILG262154 IBK262154 HRO262154 HHS262154 GXW262154 GOA262154 GEE262154 FUI262154 FKM262154 FAQ262154 EQU262154 EGY262154 DXC262154 DNG262154 DDK262154 CTO262154 CJS262154 BZW262154 BQA262154 BGE262154 AWI262154 AMM262154 ACQ262154 SU262154 IY262154 C262154 WVK196618 WLO196618 WBS196618 VRW196618 VIA196618 UYE196618 UOI196618 UEM196618 TUQ196618 TKU196618 TAY196618 SRC196618 SHG196618 RXK196618 RNO196618 RDS196618 QTW196618 QKA196618 QAE196618 PQI196618 PGM196618 OWQ196618 OMU196618 OCY196618 NTC196618 NJG196618 MZK196618 MPO196618 MFS196618 LVW196618 LMA196618 LCE196618 KSI196618 KIM196618 JYQ196618 JOU196618 JEY196618 IVC196618 ILG196618 IBK196618 HRO196618 HHS196618 GXW196618 GOA196618 GEE196618 FUI196618 FKM196618 FAQ196618 EQU196618 EGY196618 DXC196618 DNG196618 DDK196618 CTO196618 CJS196618 BZW196618 BQA196618 BGE196618 AWI196618 AMM196618 ACQ196618 SU196618 IY196618 C196618 WVK131082 WLO131082 WBS131082 VRW131082 VIA131082 UYE131082 UOI131082 UEM131082 TUQ131082 TKU131082 TAY131082 SRC131082 SHG131082 RXK131082 RNO131082 RDS131082 QTW131082 QKA131082 QAE131082 PQI131082 PGM131082 OWQ131082 OMU131082 OCY131082 NTC131082 NJG131082 MZK131082 MPO131082 MFS131082 LVW131082 LMA131082 LCE131082 KSI131082 KIM131082 JYQ131082 JOU131082 JEY131082 IVC131082 ILG131082 IBK131082 HRO131082 HHS131082 GXW131082 GOA131082 GEE131082 FUI131082 FKM131082 FAQ131082 EQU131082 EGY131082 DXC131082 DNG131082 DDK131082 CTO131082 CJS131082 BZW131082 BQA131082 BGE131082 AWI131082 AMM131082 ACQ131082 SU131082 IY131082 C131082 WVK65546 WLO65546 WBS65546 VRW65546 VIA65546 UYE65546 UOI65546 UEM65546 TUQ65546 TKU65546 TAY65546 SRC65546 SHG65546 RXK65546 RNO65546 RDS65546 QTW65546 QKA65546 QAE65546 PQI65546 PGM65546 OWQ65546 OMU65546 OCY65546 NTC65546 NJG65546 MZK65546 MPO65546 MFS65546 LVW65546 LMA65546 LCE65546 KSI65546 KIM65546 JYQ65546 JOU65546 JEY65546 IVC65546 ILG65546 IBK65546 HRO65546 HHS65546 GXW65546 GOA65546 GEE65546 FUI65546 FKM65546 FAQ65546 EQU65546 EGY65546 DXC65546 DNG65546 DDK65546 CTO65546 CJS65546 BZW65546 BQA65546 BGE65546 AWI65546 AMM65546 ACQ65546 SU65546 IY65546"/>
    <dataValidation type="decimal" operator="greaterThan" allowBlank="1" showInputMessage="1" showErrorMessage="1" sqref="C65539 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WVK983043 WLO983043 WBS983043 VRW983043 VIA983043 UYE983043 UOI983043 UEM983043 TUQ983043 TKU983043 TAY983043 SRC983043 SHG983043 RXK983043 RNO983043 RDS983043 QTW983043 QKA983043 QAE983043 PQI983043 PGM983043 OWQ983043 OMU983043 OCY983043 NTC983043 NJG983043 MZK983043 MPO983043 MFS983043 LVW983043 LMA983043 LCE983043 KSI983043 KIM983043 JYQ983043 JOU983043 JEY983043 IVC983043 ILG983043 IBK983043 HRO983043 HHS983043 GXW983043 GOA983043 GEE983043 FUI983043 FKM983043 FAQ983043 EQU983043 EGY983043 DXC983043 DNG983043 DDK983043 CTO983043 CJS983043 BZW983043 BQA983043 BGE983043 AWI983043 AMM983043 ACQ983043 SU983043 IY983043 C983043 WVK917507 WLO917507 WBS917507 VRW917507 VIA917507 UYE917507 UOI917507 UEM917507 TUQ917507 TKU917507 TAY917507 SRC917507 SHG917507 RXK917507 RNO917507 RDS917507 QTW917507 QKA917507 QAE917507 PQI917507 PGM917507 OWQ917507 OMU917507 OCY917507 NTC917507 NJG917507 MZK917507 MPO917507 MFS917507 LVW917507 LMA917507 LCE917507 KSI917507 KIM917507 JYQ917507 JOU917507 JEY917507 IVC917507 ILG917507 IBK917507 HRO917507 HHS917507 GXW917507 GOA917507 GEE917507 FUI917507 FKM917507 FAQ917507 EQU917507 EGY917507 DXC917507 DNG917507 DDK917507 CTO917507 CJS917507 BZW917507 BQA917507 BGE917507 AWI917507 AMM917507 ACQ917507 SU917507 IY917507 C917507 WVK851971 WLO851971 WBS851971 VRW851971 VIA851971 UYE851971 UOI851971 UEM851971 TUQ851971 TKU851971 TAY851971 SRC851971 SHG851971 RXK851971 RNO851971 RDS851971 QTW851971 QKA851971 QAE851971 PQI851971 PGM851971 OWQ851971 OMU851971 OCY851971 NTC851971 NJG851971 MZK851971 MPO851971 MFS851971 LVW851971 LMA851971 LCE851971 KSI851971 KIM851971 JYQ851971 JOU851971 JEY851971 IVC851971 ILG851971 IBK851971 HRO851971 HHS851971 GXW851971 GOA851971 GEE851971 FUI851971 FKM851971 FAQ851971 EQU851971 EGY851971 DXC851971 DNG851971 DDK851971 CTO851971 CJS851971 BZW851971 BQA851971 BGE851971 AWI851971 AMM851971 ACQ851971 SU851971 IY851971 C851971 WVK786435 WLO786435 WBS786435 VRW786435 VIA786435 UYE786435 UOI786435 UEM786435 TUQ786435 TKU786435 TAY786435 SRC786435 SHG786435 RXK786435 RNO786435 RDS786435 QTW786435 QKA786435 QAE786435 PQI786435 PGM786435 OWQ786435 OMU786435 OCY786435 NTC786435 NJG786435 MZK786435 MPO786435 MFS786435 LVW786435 LMA786435 LCE786435 KSI786435 KIM786435 JYQ786435 JOU786435 JEY786435 IVC786435 ILG786435 IBK786435 HRO786435 HHS786435 GXW786435 GOA786435 GEE786435 FUI786435 FKM786435 FAQ786435 EQU786435 EGY786435 DXC786435 DNG786435 DDK786435 CTO786435 CJS786435 BZW786435 BQA786435 BGE786435 AWI786435 AMM786435 ACQ786435 SU786435 IY786435 C786435 WVK720899 WLO720899 WBS720899 VRW720899 VIA720899 UYE720899 UOI720899 UEM720899 TUQ720899 TKU720899 TAY720899 SRC720899 SHG720899 RXK720899 RNO720899 RDS720899 QTW720899 QKA720899 QAE720899 PQI720899 PGM720899 OWQ720899 OMU720899 OCY720899 NTC720899 NJG720899 MZK720899 MPO720899 MFS720899 LVW720899 LMA720899 LCE720899 KSI720899 KIM720899 JYQ720899 JOU720899 JEY720899 IVC720899 ILG720899 IBK720899 HRO720899 HHS720899 GXW720899 GOA720899 GEE720899 FUI720899 FKM720899 FAQ720899 EQU720899 EGY720899 DXC720899 DNG720899 DDK720899 CTO720899 CJS720899 BZW720899 BQA720899 BGE720899 AWI720899 AMM720899 ACQ720899 SU720899 IY720899 C720899 WVK655363 WLO655363 WBS655363 VRW655363 VIA655363 UYE655363 UOI655363 UEM655363 TUQ655363 TKU655363 TAY655363 SRC655363 SHG655363 RXK655363 RNO655363 RDS655363 QTW655363 QKA655363 QAE655363 PQI655363 PGM655363 OWQ655363 OMU655363 OCY655363 NTC655363 NJG655363 MZK655363 MPO655363 MFS655363 LVW655363 LMA655363 LCE655363 KSI655363 KIM655363 JYQ655363 JOU655363 JEY655363 IVC655363 ILG655363 IBK655363 HRO655363 HHS655363 GXW655363 GOA655363 GEE655363 FUI655363 FKM655363 FAQ655363 EQU655363 EGY655363 DXC655363 DNG655363 DDK655363 CTO655363 CJS655363 BZW655363 BQA655363 BGE655363 AWI655363 AMM655363 ACQ655363 SU655363 IY655363 C655363 WVK589827 WLO589827 WBS589827 VRW589827 VIA589827 UYE589827 UOI589827 UEM589827 TUQ589827 TKU589827 TAY589827 SRC589827 SHG589827 RXK589827 RNO589827 RDS589827 QTW589827 QKA589827 QAE589827 PQI589827 PGM589827 OWQ589827 OMU589827 OCY589827 NTC589827 NJG589827 MZK589827 MPO589827 MFS589827 LVW589827 LMA589827 LCE589827 KSI589827 KIM589827 JYQ589827 JOU589827 JEY589827 IVC589827 ILG589827 IBK589827 HRO589827 HHS589827 GXW589827 GOA589827 GEE589827 FUI589827 FKM589827 FAQ589827 EQU589827 EGY589827 DXC589827 DNG589827 DDK589827 CTO589827 CJS589827 BZW589827 BQA589827 BGE589827 AWI589827 AMM589827 ACQ589827 SU589827 IY589827 C589827 WVK524291 WLO524291 WBS524291 VRW524291 VIA524291 UYE524291 UOI524291 UEM524291 TUQ524291 TKU524291 TAY524291 SRC524291 SHG524291 RXK524291 RNO524291 RDS524291 QTW524291 QKA524291 QAE524291 PQI524291 PGM524291 OWQ524291 OMU524291 OCY524291 NTC524291 NJG524291 MZK524291 MPO524291 MFS524291 LVW524291 LMA524291 LCE524291 KSI524291 KIM524291 JYQ524291 JOU524291 JEY524291 IVC524291 ILG524291 IBK524291 HRO524291 HHS524291 GXW524291 GOA524291 GEE524291 FUI524291 FKM524291 FAQ524291 EQU524291 EGY524291 DXC524291 DNG524291 DDK524291 CTO524291 CJS524291 BZW524291 BQA524291 BGE524291 AWI524291 AMM524291 ACQ524291 SU524291 IY524291 C524291 WVK458755 WLO458755 WBS458755 VRW458755 VIA458755 UYE458755 UOI458755 UEM458755 TUQ458755 TKU458755 TAY458755 SRC458755 SHG458755 RXK458755 RNO458755 RDS458755 QTW458755 QKA458755 QAE458755 PQI458755 PGM458755 OWQ458755 OMU458755 OCY458755 NTC458755 NJG458755 MZK458755 MPO458755 MFS458755 LVW458755 LMA458755 LCE458755 KSI458755 KIM458755 JYQ458755 JOU458755 JEY458755 IVC458755 ILG458755 IBK458755 HRO458755 HHS458755 GXW458755 GOA458755 GEE458755 FUI458755 FKM458755 FAQ458755 EQU458755 EGY458755 DXC458755 DNG458755 DDK458755 CTO458755 CJS458755 BZW458755 BQA458755 BGE458755 AWI458755 AMM458755 ACQ458755 SU458755 IY458755 C458755 WVK393219 WLO393219 WBS393219 VRW393219 VIA393219 UYE393219 UOI393219 UEM393219 TUQ393219 TKU393219 TAY393219 SRC393219 SHG393219 RXK393219 RNO393219 RDS393219 QTW393219 QKA393219 QAE393219 PQI393219 PGM393219 OWQ393219 OMU393219 OCY393219 NTC393219 NJG393219 MZK393219 MPO393219 MFS393219 LVW393219 LMA393219 LCE393219 KSI393219 KIM393219 JYQ393219 JOU393219 JEY393219 IVC393219 ILG393219 IBK393219 HRO393219 HHS393219 GXW393219 GOA393219 GEE393219 FUI393219 FKM393219 FAQ393219 EQU393219 EGY393219 DXC393219 DNG393219 DDK393219 CTO393219 CJS393219 BZW393219 BQA393219 BGE393219 AWI393219 AMM393219 ACQ393219 SU393219 IY393219 C393219 WVK327683 WLO327683 WBS327683 VRW327683 VIA327683 UYE327683 UOI327683 UEM327683 TUQ327683 TKU327683 TAY327683 SRC327683 SHG327683 RXK327683 RNO327683 RDS327683 QTW327683 QKA327683 QAE327683 PQI327683 PGM327683 OWQ327683 OMU327683 OCY327683 NTC327683 NJG327683 MZK327683 MPO327683 MFS327683 LVW327683 LMA327683 LCE327683 KSI327683 KIM327683 JYQ327683 JOU327683 JEY327683 IVC327683 ILG327683 IBK327683 HRO327683 HHS327683 GXW327683 GOA327683 GEE327683 FUI327683 FKM327683 FAQ327683 EQU327683 EGY327683 DXC327683 DNG327683 DDK327683 CTO327683 CJS327683 BZW327683 BQA327683 BGE327683 AWI327683 AMM327683 ACQ327683 SU327683 IY327683 C327683 WVK262147 WLO262147 WBS262147 VRW262147 VIA262147 UYE262147 UOI262147 UEM262147 TUQ262147 TKU262147 TAY262147 SRC262147 SHG262147 RXK262147 RNO262147 RDS262147 QTW262147 QKA262147 QAE262147 PQI262147 PGM262147 OWQ262147 OMU262147 OCY262147 NTC262147 NJG262147 MZK262147 MPO262147 MFS262147 LVW262147 LMA262147 LCE262147 KSI262147 KIM262147 JYQ262147 JOU262147 JEY262147 IVC262147 ILG262147 IBK262147 HRO262147 HHS262147 GXW262147 GOA262147 GEE262147 FUI262147 FKM262147 FAQ262147 EQU262147 EGY262147 DXC262147 DNG262147 DDK262147 CTO262147 CJS262147 BZW262147 BQA262147 BGE262147 AWI262147 AMM262147 ACQ262147 SU262147 IY262147 C262147 WVK196611 WLO196611 WBS196611 VRW196611 VIA196611 UYE196611 UOI196611 UEM196611 TUQ196611 TKU196611 TAY196611 SRC196611 SHG196611 RXK196611 RNO196611 RDS196611 QTW196611 QKA196611 QAE196611 PQI196611 PGM196611 OWQ196611 OMU196611 OCY196611 NTC196611 NJG196611 MZK196611 MPO196611 MFS196611 LVW196611 LMA196611 LCE196611 KSI196611 KIM196611 JYQ196611 JOU196611 JEY196611 IVC196611 ILG196611 IBK196611 HRO196611 HHS196611 GXW196611 GOA196611 GEE196611 FUI196611 FKM196611 FAQ196611 EQU196611 EGY196611 DXC196611 DNG196611 DDK196611 CTO196611 CJS196611 BZW196611 BQA196611 BGE196611 AWI196611 AMM196611 ACQ196611 SU196611 IY196611 C196611 WVK131075 WLO131075 WBS131075 VRW131075 VIA131075 UYE131075 UOI131075 UEM131075 TUQ131075 TKU131075 TAY131075 SRC131075 SHG131075 RXK131075 RNO131075 RDS131075 QTW131075 QKA131075 QAE131075 PQI131075 PGM131075 OWQ131075 OMU131075 OCY131075 NTC131075 NJG131075 MZK131075 MPO131075 MFS131075 LVW131075 LMA131075 LCE131075 KSI131075 KIM131075 JYQ131075 JOU131075 JEY131075 IVC131075 ILG131075 IBK131075 HRO131075 HHS131075 GXW131075 GOA131075 GEE131075 FUI131075 FKM131075 FAQ131075 EQU131075 EGY131075 DXC131075 DNG131075 DDK131075 CTO131075 CJS131075 BZW131075 BQA131075 BGE131075 AWI131075 AMM131075 ACQ131075 SU131075 IY131075 C131075 WVK65539 WLO65539 WBS65539 VRW65539 VIA65539 UYE65539 UOI65539 UEM65539 TUQ65539 TKU65539 TAY65539 SRC65539 SHG65539 RXK65539 RNO65539 RDS65539 QTW65539 QKA65539 QAE65539 PQI65539 PGM65539 OWQ65539 OMU65539 OCY65539 NTC65539 NJG65539 MZK65539 MPO65539 MFS65539 LVW65539 LMA65539 LCE65539 KSI65539 KIM65539 JYQ65539 JOU65539 JEY65539 IVC65539 ILG65539 IBK65539 HRO65539 HHS65539 GXW65539 GOA65539 GEE65539 FUI65539 FKM65539 FAQ65539 EQU65539 EGY65539 DXC65539 DNG65539 DDK65539 CTO65539 CJS65539 BZW65539 BQA65539 BGE65539 AWI65539 AMM65539 ACQ65539 SU65539 IY65539">
      <formula1>0</formula1>
    </dataValidation>
    <dataValidation type="decimal" allowBlank="1" showInputMessage="1" showErrorMessage="1" error="0 &lt;= H1 &lt;= H" prompt="GWT = Ground Water Table" sqref="C65540 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WVK983044 WLO983044 WBS983044 VRW983044 VIA983044 UYE983044 UOI983044 UEM983044 TUQ983044 TKU983044 TAY983044 SRC983044 SHG983044 RXK983044 RNO983044 RDS983044 QTW983044 QKA983044 QAE983044 PQI983044 PGM983044 OWQ983044 OMU983044 OCY983044 NTC983044 NJG983044 MZK983044 MPO983044 MFS983044 LVW983044 LMA983044 LCE983044 KSI983044 KIM983044 JYQ983044 JOU983044 JEY983044 IVC983044 ILG983044 IBK983044 HRO983044 HHS983044 GXW983044 GOA983044 GEE983044 FUI983044 FKM983044 FAQ983044 EQU983044 EGY983044 DXC983044 DNG983044 DDK983044 CTO983044 CJS983044 BZW983044 BQA983044 BGE983044 AWI983044 AMM983044 ACQ983044 SU983044 IY983044 C983044 WVK917508 WLO917508 WBS917508 VRW917508 VIA917508 UYE917508 UOI917508 UEM917508 TUQ917508 TKU917508 TAY917508 SRC917508 SHG917508 RXK917508 RNO917508 RDS917508 QTW917508 QKA917508 QAE917508 PQI917508 PGM917508 OWQ917508 OMU917508 OCY917508 NTC917508 NJG917508 MZK917508 MPO917508 MFS917508 LVW917508 LMA917508 LCE917508 KSI917508 KIM917508 JYQ917508 JOU917508 JEY917508 IVC917508 ILG917508 IBK917508 HRO917508 HHS917508 GXW917508 GOA917508 GEE917508 FUI917508 FKM917508 FAQ917508 EQU917508 EGY917508 DXC917508 DNG917508 DDK917508 CTO917508 CJS917508 BZW917508 BQA917508 BGE917508 AWI917508 AMM917508 ACQ917508 SU917508 IY917508 C917508 WVK851972 WLO851972 WBS851972 VRW851972 VIA851972 UYE851972 UOI851972 UEM851972 TUQ851972 TKU851972 TAY851972 SRC851972 SHG851972 RXK851972 RNO851972 RDS851972 QTW851972 QKA851972 QAE851972 PQI851972 PGM851972 OWQ851972 OMU851972 OCY851972 NTC851972 NJG851972 MZK851972 MPO851972 MFS851972 LVW851972 LMA851972 LCE851972 KSI851972 KIM851972 JYQ851972 JOU851972 JEY851972 IVC851972 ILG851972 IBK851972 HRO851972 HHS851972 GXW851972 GOA851972 GEE851972 FUI851972 FKM851972 FAQ851972 EQU851972 EGY851972 DXC851972 DNG851972 DDK851972 CTO851972 CJS851972 BZW851972 BQA851972 BGE851972 AWI851972 AMM851972 ACQ851972 SU851972 IY851972 C851972 WVK786436 WLO786436 WBS786436 VRW786436 VIA786436 UYE786436 UOI786436 UEM786436 TUQ786436 TKU786436 TAY786436 SRC786436 SHG786436 RXK786436 RNO786436 RDS786436 QTW786436 QKA786436 QAE786436 PQI786436 PGM786436 OWQ786436 OMU786436 OCY786436 NTC786436 NJG786436 MZK786436 MPO786436 MFS786436 LVW786436 LMA786436 LCE786436 KSI786436 KIM786436 JYQ786436 JOU786436 JEY786436 IVC786436 ILG786436 IBK786436 HRO786436 HHS786436 GXW786436 GOA786436 GEE786436 FUI786436 FKM786436 FAQ786436 EQU786436 EGY786436 DXC786436 DNG786436 DDK786436 CTO786436 CJS786436 BZW786436 BQA786436 BGE786436 AWI786436 AMM786436 ACQ786436 SU786436 IY786436 C786436 WVK720900 WLO720900 WBS720900 VRW720900 VIA720900 UYE720900 UOI720900 UEM720900 TUQ720900 TKU720900 TAY720900 SRC720900 SHG720900 RXK720900 RNO720900 RDS720900 QTW720900 QKA720900 QAE720900 PQI720900 PGM720900 OWQ720900 OMU720900 OCY720900 NTC720900 NJG720900 MZK720900 MPO720900 MFS720900 LVW720900 LMA720900 LCE720900 KSI720900 KIM720900 JYQ720900 JOU720900 JEY720900 IVC720900 ILG720900 IBK720900 HRO720900 HHS720900 GXW720900 GOA720900 GEE720900 FUI720900 FKM720900 FAQ720900 EQU720900 EGY720900 DXC720900 DNG720900 DDK720900 CTO720900 CJS720900 BZW720900 BQA720900 BGE720900 AWI720900 AMM720900 ACQ720900 SU720900 IY720900 C720900 WVK655364 WLO655364 WBS655364 VRW655364 VIA655364 UYE655364 UOI655364 UEM655364 TUQ655364 TKU655364 TAY655364 SRC655364 SHG655364 RXK655364 RNO655364 RDS655364 QTW655364 QKA655364 QAE655364 PQI655364 PGM655364 OWQ655364 OMU655364 OCY655364 NTC655364 NJG655364 MZK655364 MPO655364 MFS655364 LVW655364 LMA655364 LCE655364 KSI655364 KIM655364 JYQ655364 JOU655364 JEY655364 IVC655364 ILG655364 IBK655364 HRO655364 HHS655364 GXW655364 GOA655364 GEE655364 FUI655364 FKM655364 FAQ655364 EQU655364 EGY655364 DXC655364 DNG655364 DDK655364 CTO655364 CJS655364 BZW655364 BQA655364 BGE655364 AWI655364 AMM655364 ACQ655364 SU655364 IY655364 C655364 WVK589828 WLO589828 WBS589828 VRW589828 VIA589828 UYE589828 UOI589828 UEM589828 TUQ589828 TKU589828 TAY589828 SRC589828 SHG589828 RXK589828 RNO589828 RDS589828 QTW589828 QKA589828 QAE589828 PQI589828 PGM589828 OWQ589828 OMU589828 OCY589828 NTC589828 NJG589828 MZK589828 MPO589828 MFS589828 LVW589828 LMA589828 LCE589828 KSI589828 KIM589828 JYQ589828 JOU589828 JEY589828 IVC589828 ILG589828 IBK589828 HRO589828 HHS589828 GXW589828 GOA589828 GEE589828 FUI589828 FKM589828 FAQ589828 EQU589828 EGY589828 DXC589828 DNG589828 DDK589828 CTO589828 CJS589828 BZW589828 BQA589828 BGE589828 AWI589828 AMM589828 ACQ589828 SU589828 IY589828 C589828 WVK524292 WLO524292 WBS524292 VRW524292 VIA524292 UYE524292 UOI524292 UEM524292 TUQ524292 TKU524292 TAY524292 SRC524292 SHG524292 RXK524292 RNO524292 RDS524292 QTW524292 QKA524292 QAE524292 PQI524292 PGM524292 OWQ524292 OMU524292 OCY524292 NTC524292 NJG524292 MZK524292 MPO524292 MFS524292 LVW524292 LMA524292 LCE524292 KSI524292 KIM524292 JYQ524292 JOU524292 JEY524292 IVC524292 ILG524292 IBK524292 HRO524292 HHS524292 GXW524292 GOA524292 GEE524292 FUI524292 FKM524292 FAQ524292 EQU524292 EGY524292 DXC524292 DNG524292 DDK524292 CTO524292 CJS524292 BZW524292 BQA524292 BGE524292 AWI524292 AMM524292 ACQ524292 SU524292 IY524292 C524292 WVK458756 WLO458756 WBS458756 VRW458756 VIA458756 UYE458756 UOI458756 UEM458756 TUQ458756 TKU458756 TAY458756 SRC458756 SHG458756 RXK458756 RNO458756 RDS458756 QTW458756 QKA458756 QAE458756 PQI458756 PGM458756 OWQ458756 OMU458756 OCY458756 NTC458756 NJG458756 MZK458756 MPO458756 MFS458756 LVW458756 LMA458756 LCE458756 KSI458756 KIM458756 JYQ458756 JOU458756 JEY458756 IVC458756 ILG458756 IBK458756 HRO458756 HHS458756 GXW458756 GOA458756 GEE458756 FUI458756 FKM458756 FAQ458756 EQU458756 EGY458756 DXC458756 DNG458756 DDK458756 CTO458756 CJS458756 BZW458756 BQA458756 BGE458756 AWI458756 AMM458756 ACQ458756 SU458756 IY458756 C458756 WVK393220 WLO393220 WBS393220 VRW393220 VIA393220 UYE393220 UOI393220 UEM393220 TUQ393220 TKU393220 TAY393220 SRC393220 SHG393220 RXK393220 RNO393220 RDS393220 QTW393220 QKA393220 QAE393220 PQI393220 PGM393220 OWQ393220 OMU393220 OCY393220 NTC393220 NJG393220 MZK393220 MPO393220 MFS393220 LVW393220 LMA393220 LCE393220 KSI393220 KIM393220 JYQ393220 JOU393220 JEY393220 IVC393220 ILG393220 IBK393220 HRO393220 HHS393220 GXW393220 GOA393220 GEE393220 FUI393220 FKM393220 FAQ393220 EQU393220 EGY393220 DXC393220 DNG393220 DDK393220 CTO393220 CJS393220 BZW393220 BQA393220 BGE393220 AWI393220 AMM393220 ACQ393220 SU393220 IY393220 C393220 WVK327684 WLO327684 WBS327684 VRW327684 VIA327684 UYE327684 UOI327684 UEM327684 TUQ327684 TKU327684 TAY327684 SRC327684 SHG327684 RXK327684 RNO327684 RDS327684 QTW327684 QKA327684 QAE327684 PQI327684 PGM327684 OWQ327684 OMU327684 OCY327684 NTC327684 NJG327684 MZK327684 MPO327684 MFS327684 LVW327684 LMA327684 LCE327684 KSI327684 KIM327684 JYQ327684 JOU327684 JEY327684 IVC327684 ILG327684 IBK327684 HRO327684 HHS327684 GXW327684 GOA327684 GEE327684 FUI327684 FKM327684 FAQ327684 EQU327684 EGY327684 DXC327684 DNG327684 DDK327684 CTO327684 CJS327684 BZW327684 BQA327684 BGE327684 AWI327684 AMM327684 ACQ327684 SU327684 IY327684 C327684 WVK262148 WLO262148 WBS262148 VRW262148 VIA262148 UYE262148 UOI262148 UEM262148 TUQ262148 TKU262148 TAY262148 SRC262148 SHG262148 RXK262148 RNO262148 RDS262148 QTW262148 QKA262148 QAE262148 PQI262148 PGM262148 OWQ262148 OMU262148 OCY262148 NTC262148 NJG262148 MZK262148 MPO262148 MFS262148 LVW262148 LMA262148 LCE262148 KSI262148 KIM262148 JYQ262148 JOU262148 JEY262148 IVC262148 ILG262148 IBK262148 HRO262148 HHS262148 GXW262148 GOA262148 GEE262148 FUI262148 FKM262148 FAQ262148 EQU262148 EGY262148 DXC262148 DNG262148 DDK262148 CTO262148 CJS262148 BZW262148 BQA262148 BGE262148 AWI262148 AMM262148 ACQ262148 SU262148 IY262148 C262148 WVK196612 WLO196612 WBS196612 VRW196612 VIA196612 UYE196612 UOI196612 UEM196612 TUQ196612 TKU196612 TAY196612 SRC196612 SHG196612 RXK196612 RNO196612 RDS196612 QTW196612 QKA196612 QAE196612 PQI196612 PGM196612 OWQ196612 OMU196612 OCY196612 NTC196612 NJG196612 MZK196612 MPO196612 MFS196612 LVW196612 LMA196612 LCE196612 KSI196612 KIM196612 JYQ196612 JOU196612 JEY196612 IVC196612 ILG196612 IBK196612 HRO196612 HHS196612 GXW196612 GOA196612 GEE196612 FUI196612 FKM196612 FAQ196612 EQU196612 EGY196612 DXC196612 DNG196612 DDK196612 CTO196612 CJS196612 BZW196612 BQA196612 BGE196612 AWI196612 AMM196612 ACQ196612 SU196612 IY196612 C196612 WVK131076 WLO131076 WBS131076 VRW131076 VIA131076 UYE131076 UOI131076 UEM131076 TUQ131076 TKU131076 TAY131076 SRC131076 SHG131076 RXK131076 RNO131076 RDS131076 QTW131076 QKA131076 QAE131076 PQI131076 PGM131076 OWQ131076 OMU131076 OCY131076 NTC131076 NJG131076 MZK131076 MPO131076 MFS131076 LVW131076 LMA131076 LCE131076 KSI131076 KIM131076 JYQ131076 JOU131076 JEY131076 IVC131076 ILG131076 IBK131076 HRO131076 HHS131076 GXW131076 GOA131076 GEE131076 FUI131076 FKM131076 FAQ131076 EQU131076 EGY131076 DXC131076 DNG131076 DDK131076 CTO131076 CJS131076 BZW131076 BQA131076 BGE131076 AWI131076 AMM131076 ACQ131076 SU131076 IY131076 C131076 WVK65540 WLO65540 WBS65540 VRW65540 VIA65540 UYE65540 UOI65540 UEM65540 TUQ65540 TKU65540 TAY65540 SRC65540 SHG65540 RXK65540 RNO65540 RDS65540 QTW65540 QKA65540 QAE65540 PQI65540 PGM65540 OWQ65540 OMU65540 OCY65540 NTC65540 NJG65540 MZK65540 MPO65540 MFS65540 LVW65540 LMA65540 LCE65540 KSI65540 KIM65540 JYQ65540 JOU65540 JEY65540 IVC65540 ILG65540 IBK65540 HRO65540 HHS65540 GXW65540 GOA65540 GEE65540 FUI65540 FKM65540 FAQ65540 EQU65540 EGY65540 DXC65540 DNG65540 DDK65540 CTO65540 CJS65540 BZW65540 BQA65540 BGE65540 AWI65540 AMM65540 ACQ65540 SU65540 IY65540">
      <formula1>0</formula1>
      <formula2>$C$8</formula2>
    </dataValidation>
    <dataValidation allowBlank="1" showInputMessage="1" showErrorMessage="1" prompt="Soil Friction Angle above water table._x000a_See table at right for representative values of Internal Friction Angle of for various soils." sqref="C65543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WVK983047 WLO983047 WBS983047 VRW983047 VIA983047 UYE983047 UOI983047 UEM983047 TUQ983047 TKU983047 TAY983047 SRC983047 SHG983047 RXK983047 RNO983047 RDS983047 QTW983047 QKA983047 QAE983047 PQI983047 PGM983047 OWQ983047 OMU983047 OCY983047 NTC983047 NJG983047 MZK983047 MPO983047 MFS983047 LVW983047 LMA983047 LCE983047 KSI983047 KIM983047 JYQ983047 JOU983047 JEY983047 IVC983047 ILG983047 IBK983047 HRO983047 HHS983047 GXW983047 GOA983047 GEE983047 FUI983047 FKM983047 FAQ983047 EQU983047 EGY983047 DXC983047 DNG983047 DDK983047 CTO983047 CJS983047 BZW983047 BQA983047 BGE983047 AWI983047 AMM983047 ACQ983047 SU983047 IY983047 C983047 WVK917511 WLO917511 WBS917511 VRW917511 VIA917511 UYE917511 UOI917511 UEM917511 TUQ917511 TKU917511 TAY917511 SRC917511 SHG917511 RXK917511 RNO917511 RDS917511 QTW917511 QKA917511 QAE917511 PQI917511 PGM917511 OWQ917511 OMU917511 OCY917511 NTC917511 NJG917511 MZK917511 MPO917511 MFS917511 LVW917511 LMA917511 LCE917511 KSI917511 KIM917511 JYQ917511 JOU917511 JEY917511 IVC917511 ILG917511 IBK917511 HRO917511 HHS917511 GXW917511 GOA917511 GEE917511 FUI917511 FKM917511 FAQ917511 EQU917511 EGY917511 DXC917511 DNG917511 DDK917511 CTO917511 CJS917511 BZW917511 BQA917511 BGE917511 AWI917511 AMM917511 ACQ917511 SU917511 IY917511 C917511 WVK851975 WLO851975 WBS851975 VRW851975 VIA851975 UYE851975 UOI851975 UEM851975 TUQ851975 TKU851975 TAY851975 SRC851975 SHG851975 RXK851975 RNO851975 RDS851975 QTW851975 QKA851975 QAE851975 PQI851975 PGM851975 OWQ851975 OMU851975 OCY851975 NTC851975 NJG851975 MZK851975 MPO851975 MFS851975 LVW851975 LMA851975 LCE851975 KSI851975 KIM851975 JYQ851975 JOU851975 JEY851975 IVC851975 ILG851975 IBK851975 HRO851975 HHS851975 GXW851975 GOA851975 GEE851975 FUI851975 FKM851975 FAQ851975 EQU851975 EGY851975 DXC851975 DNG851975 DDK851975 CTO851975 CJS851975 BZW851975 BQA851975 BGE851975 AWI851975 AMM851975 ACQ851975 SU851975 IY851975 C851975 WVK786439 WLO786439 WBS786439 VRW786439 VIA786439 UYE786439 UOI786439 UEM786439 TUQ786439 TKU786439 TAY786439 SRC786439 SHG786439 RXK786439 RNO786439 RDS786439 QTW786439 QKA786439 QAE786439 PQI786439 PGM786439 OWQ786439 OMU786439 OCY786439 NTC786439 NJG786439 MZK786439 MPO786439 MFS786439 LVW786439 LMA786439 LCE786439 KSI786439 KIM786439 JYQ786439 JOU786439 JEY786439 IVC786439 ILG786439 IBK786439 HRO786439 HHS786439 GXW786439 GOA786439 GEE786439 FUI786439 FKM786439 FAQ786439 EQU786439 EGY786439 DXC786439 DNG786439 DDK786439 CTO786439 CJS786439 BZW786439 BQA786439 BGE786439 AWI786439 AMM786439 ACQ786439 SU786439 IY786439 C786439 WVK720903 WLO720903 WBS720903 VRW720903 VIA720903 UYE720903 UOI720903 UEM720903 TUQ720903 TKU720903 TAY720903 SRC720903 SHG720903 RXK720903 RNO720903 RDS720903 QTW720903 QKA720903 QAE720903 PQI720903 PGM720903 OWQ720903 OMU720903 OCY720903 NTC720903 NJG720903 MZK720903 MPO720903 MFS720903 LVW720903 LMA720903 LCE720903 KSI720903 KIM720903 JYQ720903 JOU720903 JEY720903 IVC720903 ILG720903 IBK720903 HRO720903 HHS720903 GXW720903 GOA720903 GEE720903 FUI720903 FKM720903 FAQ720903 EQU720903 EGY720903 DXC720903 DNG720903 DDK720903 CTO720903 CJS720903 BZW720903 BQA720903 BGE720903 AWI720903 AMM720903 ACQ720903 SU720903 IY720903 C720903 WVK655367 WLO655367 WBS655367 VRW655367 VIA655367 UYE655367 UOI655367 UEM655367 TUQ655367 TKU655367 TAY655367 SRC655367 SHG655367 RXK655367 RNO655367 RDS655367 QTW655367 QKA655367 QAE655367 PQI655367 PGM655367 OWQ655367 OMU655367 OCY655367 NTC655367 NJG655367 MZK655367 MPO655367 MFS655367 LVW655367 LMA655367 LCE655367 KSI655367 KIM655367 JYQ655367 JOU655367 JEY655367 IVC655367 ILG655367 IBK655367 HRO655367 HHS655367 GXW655367 GOA655367 GEE655367 FUI655367 FKM655367 FAQ655367 EQU655367 EGY655367 DXC655367 DNG655367 DDK655367 CTO655367 CJS655367 BZW655367 BQA655367 BGE655367 AWI655367 AMM655367 ACQ655367 SU655367 IY655367 C655367 WVK589831 WLO589831 WBS589831 VRW589831 VIA589831 UYE589831 UOI589831 UEM589831 TUQ589831 TKU589831 TAY589831 SRC589831 SHG589831 RXK589831 RNO589831 RDS589831 QTW589831 QKA589831 QAE589831 PQI589831 PGM589831 OWQ589831 OMU589831 OCY589831 NTC589831 NJG589831 MZK589831 MPO589831 MFS589831 LVW589831 LMA589831 LCE589831 KSI589831 KIM589831 JYQ589831 JOU589831 JEY589831 IVC589831 ILG589831 IBK589831 HRO589831 HHS589831 GXW589831 GOA589831 GEE589831 FUI589831 FKM589831 FAQ589831 EQU589831 EGY589831 DXC589831 DNG589831 DDK589831 CTO589831 CJS589831 BZW589831 BQA589831 BGE589831 AWI589831 AMM589831 ACQ589831 SU589831 IY589831 C589831 WVK524295 WLO524295 WBS524295 VRW524295 VIA524295 UYE524295 UOI524295 UEM524295 TUQ524295 TKU524295 TAY524295 SRC524295 SHG524295 RXK524295 RNO524295 RDS524295 QTW524295 QKA524295 QAE524295 PQI524295 PGM524295 OWQ524295 OMU524295 OCY524295 NTC524295 NJG524295 MZK524295 MPO524295 MFS524295 LVW524295 LMA524295 LCE524295 KSI524295 KIM524295 JYQ524295 JOU524295 JEY524295 IVC524295 ILG524295 IBK524295 HRO524295 HHS524295 GXW524295 GOA524295 GEE524295 FUI524295 FKM524295 FAQ524295 EQU524295 EGY524295 DXC524295 DNG524295 DDK524295 CTO524295 CJS524295 BZW524295 BQA524295 BGE524295 AWI524295 AMM524295 ACQ524295 SU524295 IY524295 C524295 WVK458759 WLO458759 WBS458759 VRW458759 VIA458759 UYE458759 UOI458759 UEM458759 TUQ458759 TKU458759 TAY458759 SRC458759 SHG458759 RXK458759 RNO458759 RDS458759 QTW458759 QKA458759 QAE458759 PQI458759 PGM458759 OWQ458759 OMU458759 OCY458759 NTC458759 NJG458759 MZK458759 MPO458759 MFS458759 LVW458759 LMA458759 LCE458759 KSI458759 KIM458759 JYQ458759 JOU458759 JEY458759 IVC458759 ILG458759 IBK458759 HRO458759 HHS458759 GXW458759 GOA458759 GEE458759 FUI458759 FKM458759 FAQ458759 EQU458759 EGY458759 DXC458759 DNG458759 DDK458759 CTO458759 CJS458759 BZW458759 BQA458759 BGE458759 AWI458759 AMM458759 ACQ458759 SU458759 IY458759 C458759 WVK393223 WLO393223 WBS393223 VRW393223 VIA393223 UYE393223 UOI393223 UEM393223 TUQ393223 TKU393223 TAY393223 SRC393223 SHG393223 RXK393223 RNO393223 RDS393223 QTW393223 QKA393223 QAE393223 PQI393223 PGM393223 OWQ393223 OMU393223 OCY393223 NTC393223 NJG393223 MZK393223 MPO393223 MFS393223 LVW393223 LMA393223 LCE393223 KSI393223 KIM393223 JYQ393223 JOU393223 JEY393223 IVC393223 ILG393223 IBK393223 HRO393223 HHS393223 GXW393223 GOA393223 GEE393223 FUI393223 FKM393223 FAQ393223 EQU393223 EGY393223 DXC393223 DNG393223 DDK393223 CTO393223 CJS393223 BZW393223 BQA393223 BGE393223 AWI393223 AMM393223 ACQ393223 SU393223 IY393223 C393223 WVK327687 WLO327687 WBS327687 VRW327687 VIA327687 UYE327687 UOI327687 UEM327687 TUQ327687 TKU327687 TAY327687 SRC327687 SHG327687 RXK327687 RNO327687 RDS327687 QTW327687 QKA327687 QAE327687 PQI327687 PGM327687 OWQ327687 OMU327687 OCY327687 NTC327687 NJG327687 MZK327687 MPO327687 MFS327687 LVW327687 LMA327687 LCE327687 KSI327687 KIM327687 JYQ327687 JOU327687 JEY327687 IVC327687 ILG327687 IBK327687 HRO327687 HHS327687 GXW327687 GOA327687 GEE327687 FUI327687 FKM327687 FAQ327687 EQU327687 EGY327687 DXC327687 DNG327687 DDK327687 CTO327687 CJS327687 BZW327687 BQA327687 BGE327687 AWI327687 AMM327687 ACQ327687 SU327687 IY327687 C327687 WVK262151 WLO262151 WBS262151 VRW262151 VIA262151 UYE262151 UOI262151 UEM262151 TUQ262151 TKU262151 TAY262151 SRC262151 SHG262151 RXK262151 RNO262151 RDS262151 QTW262151 QKA262151 QAE262151 PQI262151 PGM262151 OWQ262151 OMU262151 OCY262151 NTC262151 NJG262151 MZK262151 MPO262151 MFS262151 LVW262151 LMA262151 LCE262151 KSI262151 KIM262151 JYQ262151 JOU262151 JEY262151 IVC262151 ILG262151 IBK262151 HRO262151 HHS262151 GXW262151 GOA262151 GEE262151 FUI262151 FKM262151 FAQ262151 EQU262151 EGY262151 DXC262151 DNG262151 DDK262151 CTO262151 CJS262151 BZW262151 BQA262151 BGE262151 AWI262151 AMM262151 ACQ262151 SU262151 IY262151 C262151 WVK196615 WLO196615 WBS196615 VRW196615 VIA196615 UYE196615 UOI196615 UEM196615 TUQ196615 TKU196615 TAY196615 SRC196615 SHG196615 RXK196615 RNO196615 RDS196615 QTW196615 QKA196615 QAE196615 PQI196615 PGM196615 OWQ196615 OMU196615 OCY196615 NTC196615 NJG196615 MZK196615 MPO196615 MFS196615 LVW196615 LMA196615 LCE196615 KSI196615 KIM196615 JYQ196615 JOU196615 JEY196615 IVC196615 ILG196615 IBK196615 HRO196615 HHS196615 GXW196615 GOA196615 GEE196615 FUI196615 FKM196615 FAQ196615 EQU196615 EGY196615 DXC196615 DNG196615 DDK196615 CTO196615 CJS196615 BZW196615 BQA196615 BGE196615 AWI196615 AMM196615 ACQ196615 SU196615 IY196615 C196615 WVK131079 WLO131079 WBS131079 VRW131079 VIA131079 UYE131079 UOI131079 UEM131079 TUQ131079 TKU131079 TAY131079 SRC131079 SHG131079 RXK131079 RNO131079 RDS131079 QTW131079 QKA131079 QAE131079 PQI131079 PGM131079 OWQ131079 OMU131079 OCY131079 NTC131079 NJG131079 MZK131079 MPO131079 MFS131079 LVW131079 LMA131079 LCE131079 KSI131079 KIM131079 JYQ131079 JOU131079 JEY131079 IVC131079 ILG131079 IBK131079 HRO131079 HHS131079 GXW131079 GOA131079 GEE131079 FUI131079 FKM131079 FAQ131079 EQU131079 EGY131079 DXC131079 DNG131079 DDK131079 CTO131079 CJS131079 BZW131079 BQA131079 BGE131079 AWI131079 AMM131079 ACQ131079 SU131079 IY131079 C131079 WVK65543 WLO65543 WBS65543 VRW65543 VIA65543 UYE65543 UOI65543 UEM65543 TUQ65543 TKU65543 TAY65543 SRC65543 SHG65543 RXK65543 RNO65543 RDS65543 QTW65543 QKA65543 QAE65543 PQI65543 PGM65543 OWQ65543 OMU65543 OCY65543 NTC65543 NJG65543 MZK65543 MPO65543 MFS65543 LVW65543 LMA65543 LCE65543 KSI65543 KIM65543 JYQ65543 JOU65543 JEY65543 IVC65543 ILG65543 IBK65543 HRO65543 HHS65543 GXW65543 GOA65543 GEE65543 FUI65543 FKM65543 FAQ65543 EQU65543 EGY65543 DXC65543 DNG65543 DDK65543 CTO65543 CJS65543 BZW65543 BQA65543 BGE65543 AWI65543 AMM65543 ACQ65543 SU65543 IY65543"/>
    <dataValidation allowBlank="1" showInputMessage="1" showErrorMessage="1" prompt="See table at right for representative values of Saturated Weight for various soils." sqref="C65542 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WVK983046 WLO983046 WBS983046 VRW983046 VIA983046 UYE983046 UOI983046 UEM983046 TUQ983046 TKU983046 TAY983046 SRC983046 SHG983046 RXK983046 RNO983046 RDS983046 QTW983046 QKA983046 QAE983046 PQI983046 PGM983046 OWQ983046 OMU983046 OCY983046 NTC983046 NJG983046 MZK983046 MPO983046 MFS983046 LVW983046 LMA983046 LCE983046 KSI983046 KIM983046 JYQ983046 JOU983046 JEY983046 IVC983046 ILG983046 IBK983046 HRO983046 HHS983046 GXW983046 GOA983046 GEE983046 FUI983046 FKM983046 FAQ983046 EQU983046 EGY983046 DXC983046 DNG983046 DDK983046 CTO983046 CJS983046 BZW983046 BQA983046 BGE983046 AWI983046 AMM983046 ACQ983046 SU983046 IY983046 C983046 WVK917510 WLO917510 WBS917510 VRW917510 VIA917510 UYE917510 UOI917510 UEM917510 TUQ917510 TKU917510 TAY917510 SRC917510 SHG917510 RXK917510 RNO917510 RDS917510 QTW917510 QKA917510 QAE917510 PQI917510 PGM917510 OWQ917510 OMU917510 OCY917510 NTC917510 NJG917510 MZK917510 MPO917510 MFS917510 LVW917510 LMA917510 LCE917510 KSI917510 KIM917510 JYQ917510 JOU917510 JEY917510 IVC917510 ILG917510 IBK917510 HRO917510 HHS917510 GXW917510 GOA917510 GEE917510 FUI917510 FKM917510 FAQ917510 EQU917510 EGY917510 DXC917510 DNG917510 DDK917510 CTO917510 CJS917510 BZW917510 BQA917510 BGE917510 AWI917510 AMM917510 ACQ917510 SU917510 IY917510 C917510 WVK851974 WLO851974 WBS851974 VRW851974 VIA851974 UYE851974 UOI851974 UEM851974 TUQ851974 TKU851974 TAY851974 SRC851974 SHG851974 RXK851974 RNO851974 RDS851974 QTW851974 QKA851974 QAE851974 PQI851974 PGM851974 OWQ851974 OMU851974 OCY851974 NTC851974 NJG851974 MZK851974 MPO851974 MFS851974 LVW851974 LMA851974 LCE851974 KSI851974 KIM851974 JYQ851974 JOU851974 JEY851974 IVC851974 ILG851974 IBK851974 HRO851974 HHS851974 GXW851974 GOA851974 GEE851974 FUI851974 FKM851974 FAQ851974 EQU851974 EGY851974 DXC851974 DNG851974 DDK851974 CTO851974 CJS851974 BZW851974 BQA851974 BGE851974 AWI851974 AMM851974 ACQ851974 SU851974 IY851974 C851974 WVK786438 WLO786438 WBS786438 VRW786438 VIA786438 UYE786438 UOI786438 UEM786438 TUQ786438 TKU786438 TAY786438 SRC786438 SHG786438 RXK786438 RNO786438 RDS786438 QTW786438 QKA786438 QAE786438 PQI786438 PGM786438 OWQ786438 OMU786438 OCY786438 NTC786438 NJG786438 MZK786438 MPO786438 MFS786438 LVW786438 LMA786438 LCE786438 KSI786438 KIM786438 JYQ786438 JOU786438 JEY786438 IVC786438 ILG786438 IBK786438 HRO786438 HHS786438 GXW786438 GOA786438 GEE786438 FUI786438 FKM786438 FAQ786438 EQU786438 EGY786438 DXC786438 DNG786438 DDK786438 CTO786438 CJS786438 BZW786438 BQA786438 BGE786438 AWI786438 AMM786438 ACQ786438 SU786438 IY786438 C786438 WVK720902 WLO720902 WBS720902 VRW720902 VIA720902 UYE720902 UOI720902 UEM720902 TUQ720902 TKU720902 TAY720902 SRC720902 SHG720902 RXK720902 RNO720902 RDS720902 QTW720902 QKA720902 QAE720902 PQI720902 PGM720902 OWQ720902 OMU720902 OCY720902 NTC720902 NJG720902 MZK720902 MPO720902 MFS720902 LVW720902 LMA720902 LCE720902 KSI720902 KIM720902 JYQ720902 JOU720902 JEY720902 IVC720902 ILG720902 IBK720902 HRO720902 HHS720902 GXW720902 GOA720902 GEE720902 FUI720902 FKM720902 FAQ720902 EQU720902 EGY720902 DXC720902 DNG720902 DDK720902 CTO720902 CJS720902 BZW720902 BQA720902 BGE720902 AWI720902 AMM720902 ACQ720902 SU720902 IY720902 C720902 WVK655366 WLO655366 WBS655366 VRW655366 VIA655366 UYE655366 UOI655366 UEM655366 TUQ655366 TKU655366 TAY655366 SRC655366 SHG655366 RXK655366 RNO655366 RDS655366 QTW655366 QKA655366 QAE655366 PQI655366 PGM655366 OWQ655366 OMU655366 OCY655366 NTC655366 NJG655366 MZK655366 MPO655366 MFS655366 LVW655366 LMA655366 LCE655366 KSI655366 KIM655366 JYQ655366 JOU655366 JEY655366 IVC655366 ILG655366 IBK655366 HRO655366 HHS655366 GXW655366 GOA655366 GEE655366 FUI655366 FKM655366 FAQ655366 EQU655366 EGY655366 DXC655366 DNG655366 DDK655366 CTO655366 CJS655366 BZW655366 BQA655366 BGE655366 AWI655366 AMM655366 ACQ655366 SU655366 IY655366 C655366 WVK589830 WLO589830 WBS589830 VRW589830 VIA589830 UYE589830 UOI589830 UEM589830 TUQ589830 TKU589830 TAY589830 SRC589830 SHG589830 RXK589830 RNO589830 RDS589830 QTW589830 QKA589830 QAE589830 PQI589830 PGM589830 OWQ589830 OMU589830 OCY589830 NTC589830 NJG589830 MZK589830 MPO589830 MFS589830 LVW589830 LMA589830 LCE589830 KSI589830 KIM589830 JYQ589830 JOU589830 JEY589830 IVC589830 ILG589830 IBK589830 HRO589830 HHS589830 GXW589830 GOA589830 GEE589830 FUI589830 FKM589830 FAQ589830 EQU589830 EGY589830 DXC589830 DNG589830 DDK589830 CTO589830 CJS589830 BZW589830 BQA589830 BGE589830 AWI589830 AMM589830 ACQ589830 SU589830 IY589830 C589830 WVK524294 WLO524294 WBS524294 VRW524294 VIA524294 UYE524294 UOI524294 UEM524294 TUQ524294 TKU524294 TAY524294 SRC524294 SHG524294 RXK524294 RNO524294 RDS524294 QTW524294 QKA524294 QAE524294 PQI524294 PGM524294 OWQ524294 OMU524294 OCY524294 NTC524294 NJG524294 MZK524294 MPO524294 MFS524294 LVW524294 LMA524294 LCE524294 KSI524294 KIM524294 JYQ524294 JOU524294 JEY524294 IVC524294 ILG524294 IBK524294 HRO524294 HHS524294 GXW524294 GOA524294 GEE524294 FUI524294 FKM524294 FAQ524294 EQU524294 EGY524294 DXC524294 DNG524294 DDK524294 CTO524294 CJS524294 BZW524294 BQA524294 BGE524294 AWI524294 AMM524294 ACQ524294 SU524294 IY524294 C524294 WVK458758 WLO458758 WBS458758 VRW458758 VIA458758 UYE458758 UOI458758 UEM458758 TUQ458758 TKU458758 TAY458758 SRC458758 SHG458758 RXK458758 RNO458758 RDS458758 QTW458758 QKA458758 QAE458758 PQI458758 PGM458758 OWQ458758 OMU458758 OCY458758 NTC458758 NJG458758 MZK458758 MPO458758 MFS458758 LVW458758 LMA458758 LCE458758 KSI458758 KIM458758 JYQ458758 JOU458758 JEY458758 IVC458758 ILG458758 IBK458758 HRO458758 HHS458758 GXW458758 GOA458758 GEE458758 FUI458758 FKM458758 FAQ458758 EQU458758 EGY458758 DXC458758 DNG458758 DDK458758 CTO458758 CJS458758 BZW458758 BQA458758 BGE458758 AWI458758 AMM458758 ACQ458758 SU458758 IY458758 C458758 WVK393222 WLO393222 WBS393222 VRW393222 VIA393222 UYE393222 UOI393222 UEM393222 TUQ393222 TKU393222 TAY393222 SRC393222 SHG393222 RXK393222 RNO393222 RDS393222 QTW393222 QKA393222 QAE393222 PQI393222 PGM393222 OWQ393222 OMU393222 OCY393222 NTC393222 NJG393222 MZK393222 MPO393222 MFS393222 LVW393222 LMA393222 LCE393222 KSI393222 KIM393222 JYQ393222 JOU393222 JEY393222 IVC393222 ILG393222 IBK393222 HRO393222 HHS393222 GXW393222 GOA393222 GEE393222 FUI393222 FKM393222 FAQ393222 EQU393222 EGY393222 DXC393222 DNG393222 DDK393222 CTO393222 CJS393222 BZW393222 BQA393222 BGE393222 AWI393222 AMM393222 ACQ393222 SU393222 IY393222 C393222 WVK327686 WLO327686 WBS327686 VRW327686 VIA327686 UYE327686 UOI327686 UEM327686 TUQ327686 TKU327686 TAY327686 SRC327686 SHG327686 RXK327686 RNO327686 RDS327686 QTW327686 QKA327686 QAE327686 PQI327686 PGM327686 OWQ327686 OMU327686 OCY327686 NTC327686 NJG327686 MZK327686 MPO327686 MFS327686 LVW327686 LMA327686 LCE327686 KSI327686 KIM327686 JYQ327686 JOU327686 JEY327686 IVC327686 ILG327686 IBK327686 HRO327686 HHS327686 GXW327686 GOA327686 GEE327686 FUI327686 FKM327686 FAQ327686 EQU327686 EGY327686 DXC327686 DNG327686 DDK327686 CTO327686 CJS327686 BZW327686 BQA327686 BGE327686 AWI327686 AMM327686 ACQ327686 SU327686 IY327686 C327686 WVK262150 WLO262150 WBS262150 VRW262150 VIA262150 UYE262150 UOI262150 UEM262150 TUQ262150 TKU262150 TAY262150 SRC262150 SHG262150 RXK262150 RNO262150 RDS262150 QTW262150 QKA262150 QAE262150 PQI262150 PGM262150 OWQ262150 OMU262150 OCY262150 NTC262150 NJG262150 MZK262150 MPO262150 MFS262150 LVW262150 LMA262150 LCE262150 KSI262150 KIM262150 JYQ262150 JOU262150 JEY262150 IVC262150 ILG262150 IBK262150 HRO262150 HHS262150 GXW262150 GOA262150 GEE262150 FUI262150 FKM262150 FAQ262150 EQU262150 EGY262150 DXC262150 DNG262150 DDK262150 CTO262150 CJS262150 BZW262150 BQA262150 BGE262150 AWI262150 AMM262150 ACQ262150 SU262150 IY262150 C262150 WVK196614 WLO196614 WBS196614 VRW196614 VIA196614 UYE196614 UOI196614 UEM196614 TUQ196614 TKU196614 TAY196614 SRC196614 SHG196614 RXK196614 RNO196614 RDS196614 QTW196614 QKA196614 QAE196614 PQI196614 PGM196614 OWQ196614 OMU196614 OCY196614 NTC196614 NJG196614 MZK196614 MPO196614 MFS196614 LVW196614 LMA196614 LCE196614 KSI196614 KIM196614 JYQ196614 JOU196614 JEY196614 IVC196614 ILG196614 IBK196614 HRO196614 HHS196614 GXW196614 GOA196614 GEE196614 FUI196614 FKM196614 FAQ196614 EQU196614 EGY196614 DXC196614 DNG196614 DDK196614 CTO196614 CJS196614 BZW196614 BQA196614 BGE196614 AWI196614 AMM196614 ACQ196614 SU196614 IY196614 C196614 WVK131078 WLO131078 WBS131078 VRW131078 VIA131078 UYE131078 UOI131078 UEM131078 TUQ131078 TKU131078 TAY131078 SRC131078 SHG131078 RXK131078 RNO131078 RDS131078 QTW131078 QKA131078 QAE131078 PQI131078 PGM131078 OWQ131078 OMU131078 OCY131078 NTC131078 NJG131078 MZK131078 MPO131078 MFS131078 LVW131078 LMA131078 LCE131078 KSI131078 KIM131078 JYQ131078 JOU131078 JEY131078 IVC131078 ILG131078 IBK131078 HRO131078 HHS131078 GXW131078 GOA131078 GEE131078 FUI131078 FKM131078 FAQ131078 EQU131078 EGY131078 DXC131078 DNG131078 DDK131078 CTO131078 CJS131078 BZW131078 BQA131078 BGE131078 AWI131078 AMM131078 ACQ131078 SU131078 IY131078 C131078 WVK65542 WLO65542 WBS65542 VRW65542 VIA65542 UYE65542 UOI65542 UEM65542 TUQ65542 TKU65542 TAY65542 SRC65542 SHG65542 RXK65542 RNO65542 RDS65542 QTW65542 QKA65542 QAE65542 PQI65542 PGM65542 OWQ65542 OMU65542 OCY65542 NTC65542 NJG65542 MZK65542 MPO65542 MFS65542 LVW65542 LMA65542 LCE65542 KSI65542 KIM65542 JYQ65542 JOU65542 JEY65542 IVC65542 ILG65542 IBK65542 HRO65542 HHS65542 GXW65542 GOA65542 GEE65542 FUI65542 FKM65542 FAQ65542 EQU65542 EGY65542 DXC65542 DNG65542 DDK65542 CTO65542 CJS65542 BZW65542 BQA65542 BGE65542 AWI65542 AMM65542 ACQ65542 SU65542 IY65542"/>
    <dataValidation allowBlank="1" showInputMessage="1" showErrorMessage="1" prompt="See table at right for representative values of Dry Unit Weight for various soils." sqref="C65541 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WVK983045 WLO983045 WBS983045 VRW983045 VIA983045 UYE983045 UOI983045 UEM983045 TUQ983045 TKU983045 TAY983045 SRC983045 SHG983045 RXK983045 RNO983045 RDS983045 QTW983045 QKA983045 QAE983045 PQI983045 PGM983045 OWQ983045 OMU983045 OCY983045 NTC983045 NJG983045 MZK983045 MPO983045 MFS983045 LVW983045 LMA983045 LCE983045 KSI983045 KIM983045 JYQ983045 JOU983045 JEY983045 IVC983045 ILG983045 IBK983045 HRO983045 HHS983045 GXW983045 GOA983045 GEE983045 FUI983045 FKM983045 FAQ983045 EQU983045 EGY983045 DXC983045 DNG983045 DDK983045 CTO983045 CJS983045 BZW983045 BQA983045 BGE983045 AWI983045 AMM983045 ACQ983045 SU983045 IY983045 C983045 WVK917509 WLO917509 WBS917509 VRW917509 VIA917509 UYE917509 UOI917509 UEM917509 TUQ917509 TKU917509 TAY917509 SRC917509 SHG917509 RXK917509 RNO917509 RDS917509 QTW917509 QKA917509 QAE917509 PQI917509 PGM917509 OWQ917509 OMU917509 OCY917509 NTC917509 NJG917509 MZK917509 MPO917509 MFS917509 LVW917509 LMA917509 LCE917509 KSI917509 KIM917509 JYQ917509 JOU917509 JEY917509 IVC917509 ILG917509 IBK917509 HRO917509 HHS917509 GXW917509 GOA917509 GEE917509 FUI917509 FKM917509 FAQ917509 EQU917509 EGY917509 DXC917509 DNG917509 DDK917509 CTO917509 CJS917509 BZW917509 BQA917509 BGE917509 AWI917509 AMM917509 ACQ917509 SU917509 IY917509 C917509 WVK851973 WLO851973 WBS851973 VRW851973 VIA851973 UYE851973 UOI851973 UEM851973 TUQ851973 TKU851973 TAY851973 SRC851973 SHG851973 RXK851973 RNO851973 RDS851973 QTW851973 QKA851973 QAE851973 PQI851973 PGM851973 OWQ851973 OMU851973 OCY851973 NTC851973 NJG851973 MZK851973 MPO851973 MFS851973 LVW851973 LMA851973 LCE851973 KSI851973 KIM851973 JYQ851973 JOU851973 JEY851973 IVC851973 ILG851973 IBK851973 HRO851973 HHS851973 GXW851973 GOA851973 GEE851973 FUI851973 FKM851973 FAQ851973 EQU851973 EGY851973 DXC851973 DNG851973 DDK851973 CTO851973 CJS851973 BZW851973 BQA851973 BGE851973 AWI851973 AMM851973 ACQ851973 SU851973 IY851973 C851973 WVK786437 WLO786437 WBS786437 VRW786437 VIA786437 UYE786437 UOI786437 UEM786437 TUQ786437 TKU786437 TAY786437 SRC786437 SHG786437 RXK786437 RNO786437 RDS786437 QTW786437 QKA786437 QAE786437 PQI786437 PGM786437 OWQ786437 OMU786437 OCY786437 NTC786437 NJG786437 MZK786437 MPO786437 MFS786437 LVW786437 LMA786437 LCE786437 KSI786437 KIM786437 JYQ786437 JOU786437 JEY786437 IVC786437 ILG786437 IBK786437 HRO786437 HHS786437 GXW786437 GOA786437 GEE786437 FUI786437 FKM786437 FAQ786437 EQU786437 EGY786437 DXC786437 DNG786437 DDK786437 CTO786437 CJS786437 BZW786437 BQA786437 BGE786437 AWI786437 AMM786437 ACQ786437 SU786437 IY786437 C786437 WVK720901 WLO720901 WBS720901 VRW720901 VIA720901 UYE720901 UOI720901 UEM720901 TUQ720901 TKU720901 TAY720901 SRC720901 SHG720901 RXK720901 RNO720901 RDS720901 QTW720901 QKA720901 QAE720901 PQI720901 PGM720901 OWQ720901 OMU720901 OCY720901 NTC720901 NJG720901 MZK720901 MPO720901 MFS720901 LVW720901 LMA720901 LCE720901 KSI720901 KIM720901 JYQ720901 JOU720901 JEY720901 IVC720901 ILG720901 IBK720901 HRO720901 HHS720901 GXW720901 GOA720901 GEE720901 FUI720901 FKM720901 FAQ720901 EQU720901 EGY720901 DXC720901 DNG720901 DDK720901 CTO720901 CJS720901 BZW720901 BQA720901 BGE720901 AWI720901 AMM720901 ACQ720901 SU720901 IY720901 C720901 WVK655365 WLO655365 WBS655365 VRW655365 VIA655365 UYE655365 UOI655365 UEM655365 TUQ655365 TKU655365 TAY655365 SRC655365 SHG655365 RXK655365 RNO655365 RDS655365 QTW655365 QKA655365 QAE655365 PQI655365 PGM655365 OWQ655365 OMU655365 OCY655365 NTC655365 NJG655365 MZK655365 MPO655365 MFS655365 LVW655365 LMA655365 LCE655365 KSI655365 KIM655365 JYQ655365 JOU655365 JEY655365 IVC655365 ILG655365 IBK655365 HRO655365 HHS655365 GXW655365 GOA655365 GEE655365 FUI655365 FKM655365 FAQ655365 EQU655365 EGY655365 DXC655365 DNG655365 DDK655365 CTO655365 CJS655365 BZW655365 BQA655365 BGE655365 AWI655365 AMM655365 ACQ655365 SU655365 IY655365 C655365 WVK589829 WLO589829 WBS589829 VRW589829 VIA589829 UYE589829 UOI589829 UEM589829 TUQ589829 TKU589829 TAY589829 SRC589829 SHG589829 RXK589829 RNO589829 RDS589829 QTW589829 QKA589829 QAE589829 PQI589829 PGM589829 OWQ589829 OMU589829 OCY589829 NTC589829 NJG589829 MZK589829 MPO589829 MFS589829 LVW589829 LMA589829 LCE589829 KSI589829 KIM589829 JYQ589829 JOU589829 JEY589829 IVC589829 ILG589829 IBK589829 HRO589829 HHS589829 GXW589829 GOA589829 GEE589829 FUI589829 FKM589829 FAQ589829 EQU589829 EGY589829 DXC589829 DNG589829 DDK589829 CTO589829 CJS589829 BZW589829 BQA589829 BGE589829 AWI589829 AMM589829 ACQ589829 SU589829 IY589829 C589829 WVK524293 WLO524293 WBS524293 VRW524293 VIA524293 UYE524293 UOI524293 UEM524293 TUQ524293 TKU524293 TAY524293 SRC524293 SHG524293 RXK524293 RNO524293 RDS524293 QTW524293 QKA524293 QAE524293 PQI524293 PGM524293 OWQ524293 OMU524293 OCY524293 NTC524293 NJG524293 MZK524293 MPO524293 MFS524293 LVW524293 LMA524293 LCE524293 KSI524293 KIM524293 JYQ524293 JOU524293 JEY524293 IVC524293 ILG524293 IBK524293 HRO524293 HHS524293 GXW524293 GOA524293 GEE524293 FUI524293 FKM524293 FAQ524293 EQU524293 EGY524293 DXC524293 DNG524293 DDK524293 CTO524293 CJS524293 BZW524293 BQA524293 BGE524293 AWI524293 AMM524293 ACQ524293 SU524293 IY524293 C524293 WVK458757 WLO458757 WBS458757 VRW458757 VIA458757 UYE458757 UOI458757 UEM458757 TUQ458757 TKU458757 TAY458757 SRC458757 SHG458757 RXK458757 RNO458757 RDS458757 QTW458757 QKA458757 QAE458757 PQI458757 PGM458757 OWQ458757 OMU458757 OCY458757 NTC458757 NJG458757 MZK458757 MPO458757 MFS458757 LVW458757 LMA458757 LCE458757 KSI458757 KIM458757 JYQ458757 JOU458757 JEY458757 IVC458757 ILG458757 IBK458757 HRO458757 HHS458757 GXW458757 GOA458757 GEE458757 FUI458757 FKM458757 FAQ458757 EQU458757 EGY458757 DXC458757 DNG458757 DDK458757 CTO458757 CJS458757 BZW458757 BQA458757 BGE458757 AWI458757 AMM458757 ACQ458757 SU458757 IY458757 C458757 WVK393221 WLO393221 WBS393221 VRW393221 VIA393221 UYE393221 UOI393221 UEM393221 TUQ393221 TKU393221 TAY393221 SRC393221 SHG393221 RXK393221 RNO393221 RDS393221 QTW393221 QKA393221 QAE393221 PQI393221 PGM393221 OWQ393221 OMU393221 OCY393221 NTC393221 NJG393221 MZK393221 MPO393221 MFS393221 LVW393221 LMA393221 LCE393221 KSI393221 KIM393221 JYQ393221 JOU393221 JEY393221 IVC393221 ILG393221 IBK393221 HRO393221 HHS393221 GXW393221 GOA393221 GEE393221 FUI393221 FKM393221 FAQ393221 EQU393221 EGY393221 DXC393221 DNG393221 DDK393221 CTO393221 CJS393221 BZW393221 BQA393221 BGE393221 AWI393221 AMM393221 ACQ393221 SU393221 IY393221 C393221 WVK327685 WLO327685 WBS327685 VRW327685 VIA327685 UYE327685 UOI327685 UEM327685 TUQ327685 TKU327685 TAY327685 SRC327685 SHG327685 RXK327685 RNO327685 RDS327685 QTW327685 QKA327685 QAE327685 PQI327685 PGM327685 OWQ327685 OMU327685 OCY327685 NTC327685 NJG327685 MZK327685 MPO327685 MFS327685 LVW327685 LMA327685 LCE327685 KSI327685 KIM327685 JYQ327685 JOU327685 JEY327685 IVC327685 ILG327685 IBK327685 HRO327685 HHS327685 GXW327685 GOA327685 GEE327685 FUI327685 FKM327685 FAQ327685 EQU327685 EGY327685 DXC327685 DNG327685 DDK327685 CTO327685 CJS327685 BZW327685 BQA327685 BGE327685 AWI327685 AMM327685 ACQ327685 SU327685 IY327685 C327685 WVK262149 WLO262149 WBS262149 VRW262149 VIA262149 UYE262149 UOI262149 UEM262149 TUQ262149 TKU262149 TAY262149 SRC262149 SHG262149 RXK262149 RNO262149 RDS262149 QTW262149 QKA262149 QAE262149 PQI262149 PGM262149 OWQ262149 OMU262149 OCY262149 NTC262149 NJG262149 MZK262149 MPO262149 MFS262149 LVW262149 LMA262149 LCE262149 KSI262149 KIM262149 JYQ262149 JOU262149 JEY262149 IVC262149 ILG262149 IBK262149 HRO262149 HHS262149 GXW262149 GOA262149 GEE262149 FUI262149 FKM262149 FAQ262149 EQU262149 EGY262149 DXC262149 DNG262149 DDK262149 CTO262149 CJS262149 BZW262149 BQA262149 BGE262149 AWI262149 AMM262149 ACQ262149 SU262149 IY262149 C262149 WVK196613 WLO196613 WBS196613 VRW196613 VIA196613 UYE196613 UOI196613 UEM196613 TUQ196613 TKU196613 TAY196613 SRC196613 SHG196613 RXK196613 RNO196613 RDS196613 QTW196613 QKA196613 QAE196613 PQI196613 PGM196613 OWQ196613 OMU196613 OCY196613 NTC196613 NJG196613 MZK196613 MPO196613 MFS196613 LVW196613 LMA196613 LCE196613 KSI196613 KIM196613 JYQ196613 JOU196613 JEY196613 IVC196613 ILG196613 IBK196613 HRO196613 HHS196613 GXW196613 GOA196613 GEE196613 FUI196613 FKM196613 FAQ196613 EQU196613 EGY196613 DXC196613 DNG196613 DDK196613 CTO196613 CJS196613 BZW196613 BQA196613 BGE196613 AWI196613 AMM196613 ACQ196613 SU196613 IY196613 C196613 WVK131077 WLO131077 WBS131077 VRW131077 VIA131077 UYE131077 UOI131077 UEM131077 TUQ131077 TKU131077 TAY131077 SRC131077 SHG131077 RXK131077 RNO131077 RDS131077 QTW131077 QKA131077 QAE131077 PQI131077 PGM131077 OWQ131077 OMU131077 OCY131077 NTC131077 NJG131077 MZK131077 MPO131077 MFS131077 LVW131077 LMA131077 LCE131077 KSI131077 KIM131077 JYQ131077 JOU131077 JEY131077 IVC131077 ILG131077 IBK131077 HRO131077 HHS131077 GXW131077 GOA131077 GEE131077 FUI131077 FKM131077 FAQ131077 EQU131077 EGY131077 DXC131077 DNG131077 DDK131077 CTO131077 CJS131077 BZW131077 BQA131077 BGE131077 AWI131077 AMM131077 ACQ131077 SU131077 IY131077 C131077 WVK65541 WLO65541 WBS65541 VRW65541 VIA65541 UYE65541 UOI65541 UEM65541 TUQ65541 TKU65541 TAY65541 SRC65541 SHG65541 RXK65541 RNO65541 RDS65541 QTW65541 QKA65541 QAE65541 PQI65541 PGM65541 OWQ65541 OMU65541 OCY65541 NTC65541 NJG65541 MZK65541 MPO65541 MFS65541 LVW65541 LMA65541 LCE65541 KSI65541 KIM65541 JYQ65541 JOU65541 JEY65541 IVC65541 ILG65541 IBK65541 HRO65541 HHS65541 GXW65541 GOA65541 GEE65541 FUI65541 FKM65541 FAQ65541 EQU65541 EGY65541 DXC65541 DNG65541 DDK65541 CTO65541 CJS65541 BZW65541 BQA65541 BGE65541 AWI65541 AMM65541 ACQ65541 SU65541 IY65541"/>
    <dataValidation type="list" allowBlank="1" showInputMessage="1" showErrorMessage="1" prompt="If wall is flexible and deflects and/or rotates enough to mobilize active soil pressure, then &quot;Active&quot; should be selected. Otherwise, if wall is very rigid or restrained near top, preventing movement, then &quot;At-Rest&quot; soil condition should be selected." sqref="C65545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WVK983049 WLO983049 WBS983049 VRW983049 VIA983049 UYE983049 UOI983049 UEM983049 TUQ983049 TKU983049 TAY983049 SRC983049 SHG983049 RXK983049 RNO983049 RDS983049 QTW983049 QKA983049 QAE983049 PQI983049 PGM983049 OWQ983049 OMU983049 OCY983049 NTC983049 NJG983049 MZK983049 MPO983049 MFS983049 LVW983049 LMA983049 LCE983049 KSI983049 KIM983049 JYQ983049 JOU983049 JEY983049 IVC983049 ILG983049 IBK983049 HRO983049 HHS983049 GXW983049 GOA983049 GEE983049 FUI983049 FKM983049 FAQ983049 EQU983049 EGY983049 DXC983049 DNG983049 DDK983049 CTO983049 CJS983049 BZW983049 BQA983049 BGE983049 AWI983049 AMM983049 ACQ983049 SU983049 IY983049 C983049 WVK917513 WLO917513 WBS917513 VRW917513 VIA917513 UYE917513 UOI917513 UEM917513 TUQ917513 TKU917513 TAY917513 SRC917513 SHG917513 RXK917513 RNO917513 RDS917513 QTW917513 QKA917513 QAE917513 PQI917513 PGM917513 OWQ917513 OMU917513 OCY917513 NTC917513 NJG917513 MZK917513 MPO917513 MFS917513 LVW917513 LMA917513 LCE917513 KSI917513 KIM917513 JYQ917513 JOU917513 JEY917513 IVC917513 ILG917513 IBK917513 HRO917513 HHS917513 GXW917513 GOA917513 GEE917513 FUI917513 FKM917513 FAQ917513 EQU917513 EGY917513 DXC917513 DNG917513 DDK917513 CTO917513 CJS917513 BZW917513 BQA917513 BGE917513 AWI917513 AMM917513 ACQ917513 SU917513 IY917513 C917513 WVK851977 WLO851977 WBS851977 VRW851977 VIA851977 UYE851977 UOI851977 UEM851977 TUQ851977 TKU851977 TAY851977 SRC851977 SHG851977 RXK851977 RNO851977 RDS851977 QTW851977 QKA851977 QAE851977 PQI851977 PGM851977 OWQ851977 OMU851977 OCY851977 NTC851977 NJG851977 MZK851977 MPO851977 MFS851977 LVW851977 LMA851977 LCE851977 KSI851977 KIM851977 JYQ851977 JOU851977 JEY851977 IVC851977 ILG851977 IBK851977 HRO851977 HHS851977 GXW851977 GOA851977 GEE851977 FUI851977 FKM851977 FAQ851977 EQU851977 EGY851977 DXC851977 DNG851977 DDK851977 CTO851977 CJS851977 BZW851977 BQA851977 BGE851977 AWI851977 AMM851977 ACQ851977 SU851977 IY851977 C851977 WVK786441 WLO786441 WBS786441 VRW786441 VIA786441 UYE786441 UOI786441 UEM786441 TUQ786441 TKU786441 TAY786441 SRC786441 SHG786441 RXK786441 RNO786441 RDS786441 QTW786441 QKA786441 QAE786441 PQI786441 PGM786441 OWQ786441 OMU786441 OCY786441 NTC786441 NJG786441 MZK786441 MPO786441 MFS786441 LVW786441 LMA786441 LCE786441 KSI786441 KIM786441 JYQ786441 JOU786441 JEY786441 IVC786441 ILG786441 IBK786441 HRO786441 HHS786441 GXW786441 GOA786441 GEE786441 FUI786441 FKM786441 FAQ786441 EQU786441 EGY786441 DXC786441 DNG786441 DDK786441 CTO786441 CJS786441 BZW786441 BQA786441 BGE786441 AWI786441 AMM786441 ACQ786441 SU786441 IY786441 C786441 WVK720905 WLO720905 WBS720905 VRW720905 VIA720905 UYE720905 UOI720905 UEM720905 TUQ720905 TKU720905 TAY720905 SRC720905 SHG720905 RXK720905 RNO720905 RDS720905 QTW720905 QKA720905 QAE720905 PQI720905 PGM720905 OWQ720905 OMU720905 OCY720905 NTC720905 NJG720905 MZK720905 MPO720905 MFS720905 LVW720905 LMA720905 LCE720905 KSI720905 KIM720905 JYQ720905 JOU720905 JEY720905 IVC720905 ILG720905 IBK720905 HRO720905 HHS720905 GXW720905 GOA720905 GEE720905 FUI720905 FKM720905 FAQ720905 EQU720905 EGY720905 DXC720905 DNG720905 DDK720905 CTO720905 CJS720905 BZW720905 BQA720905 BGE720905 AWI720905 AMM720905 ACQ720905 SU720905 IY720905 C720905 WVK655369 WLO655369 WBS655369 VRW655369 VIA655369 UYE655369 UOI655369 UEM655369 TUQ655369 TKU655369 TAY655369 SRC655369 SHG655369 RXK655369 RNO655369 RDS655369 QTW655369 QKA655369 QAE655369 PQI655369 PGM655369 OWQ655369 OMU655369 OCY655369 NTC655369 NJG655369 MZK655369 MPO655369 MFS655369 LVW655369 LMA655369 LCE655369 KSI655369 KIM655369 JYQ655369 JOU655369 JEY655369 IVC655369 ILG655369 IBK655369 HRO655369 HHS655369 GXW655369 GOA655369 GEE655369 FUI655369 FKM655369 FAQ655369 EQU655369 EGY655369 DXC655369 DNG655369 DDK655369 CTO655369 CJS655369 BZW655369 BQA655369 BGE655369 AWI655369 AMM655369 ACQ655369 SU655369 IY655369 C655369 WVK589833 WLO589833 WBS589833 VRW589833 VIA589833 UYE589833 UOI589833 UEM589833 TUQ589833 TKU589833 TAY589833 SRC589833 SHG589833 RXK589833 RNO589833 RDS589833 QTW589833 QKA589833 QAE589833 PQI589833 PGM589833 OWQ589833 OMU589833 OCY589833 NTC589833 NJG589833 MZK589833 MPO589833 MFS589833 LVW589833 LMA589833 LCE589833 KSI589833 KIM589833 JYQ589833 JOU589833 JEY589833 IVC589833 ILG589833 IBK589833 HRO589833 HHS589833 GXW589833 GOA589833 GEE589833 FUI589833 FKM589833 FAQ589833 EQU589833 EGY589833 DXC589833 DNG589833 DDK589833 CTO589833 CJS589833 BZW589833 BQA589833 BGE589833 AWI589833 AMM589833 ACQ589833 SU589833 IY589833 C589833 WVK524297 WLO524297 WBS524297 VRW524297 VIA524297 UYE524297 UOI524297 UEM524297 TUQ524297 TKU524297 TAY524297 SRC524297 SHG524297 RXK524297 RNO524297 RDS524297 QTW524297 QKA524297 QAE524297 PQI524297 PGM524297 OWQ524297 OMU524297 OCY524297 NTC524297 NJG524297 MZK524297 MPO524297 MFS524297 LVW524297 LMA524297 LCE524297 KSI524297 KIM524297 JYQ524297 JOU524297 JEY524297 IVC524297 ILG524297 IBK524297 HRO524297 HHS524297 GXW524297 GOA524297 GEE524297 FUI524297 FKM524297 FAQ524297 EQU524297 EGY524297 DXC524297 DNG524297 DDK524297 CTO524297 CJS524297 BZW524297 BQA524297 BGE524297 AWI524297 AMM524297 ACQ524297 SU524297 IY524297 C524297 WVK458761 WLO458761 WBS458761 VRW458761 VIA458761 UYE458761 UOI458761 UEM458761 TUQ458761 TKU458761 TAY458761 SRC458761 SHG458761 RXK458761 RNO458761 RDS458761 QTW458761 QKA458761 QAE458761 PQI458761 PGM458761 OWQ458761 OMU458761 OCY458761 NTC458761 NJG458761 MZK458761 MPO458761 MFS458761 LVW458761 LMA458761 LCE458761 KSI458761 KIM458761 JYQ458761 JOU458761 JEY458761 IVC458761 ILG458761 IBK458761 HRO458761 HHS458761 GXW458761 GOA458761 GEE458761 FUI458761 FKM458761 FAQ458761 EQU458761 EGY458761 DXC458761 DNG458761 DDK458761 CTO458761 CJS458761 BZW458761 BQA458761 BGE458761 AWI458761 AMM458761 ACQ458761 SU458761 IY458761 C458761 WVK393225 WLO393225 WBS393225 VRW393225 VIA393225 UYE393225 UOI393225 UEM393225 TUQ393225 TKU393225 TAY393225 SRC393225 SHG393225 RXK393225 RNO393225 RDS393225 QTW393225 QKA393225 QAE393225 PQI393225 PGM393225 OWQ393225 OMU393225 OCY393225 NTC393225 NJG393225 MZK393225 MPO393225 MFS393225 LVW393225 LMA393225 LCE393225 KSI393225 KIM393225 JYQ393225 JOU393225 JEY393225 IVC393225 ILG393225 IBK393225 HRO393225 HHS393225 GXW393225 GOA393225 GEE393225 FUI393225 FKM393225 FAQ393225 EQU393225 EGY393225 DXC393225 DNG393225 DDK393225 CTO393225 CJS393225 BZW393225 BQA393225 BGE393225 AWI393225 AMM393225 ACQ393225 SU393225 IY393225 C393225 WVK327689 WLO327689 WBS327689 VRW327689 VIA327689 UYE327689 UOI327689 UEM327689 TUQ327689 TKU327689 TAY327689 SRC327689 SHG327689 RXK327689 RNO327689 RDS327689 QTW327689 QKA327689 QAE327689 PQI327689 PGM327689 OWQ327689 OMU327689 OCY327689 NTC327689 NJG327689 MZK327689 MPO327689 MFS327689 LVW327689 LMA327689 LCE327689 KSI327689 KIM327689 JYQ327689 JOU327689 JEY327689 IVC327689 ILG327689 IBK327689 HRO327689 HHS327689 GXW327689 GOA327689 GEE327689 FUI327689 FKM327689 FAQ327689 EQU327689 EGY327689 DXC327689 DNG327689 DDK327689 CTO327689 CJS327689 BZW327689 BQA327689 BGE327689 AWI327689 AMM327689 ACQ327689 SU327689 IY327689 C327689 WVK262153 WLO262153 WBS262153 VRW262153 VIA262153 UYE262153 UOI262153 UEM262153 TUQ262153 TKU262153 TAY262153 SRC262153 SHG262153 RXK262153 RNO262153 RDS262153 QTW262153 QKA262153 QAE262153 PQI262153 PGM262153 OWQ262153 OMU262153 OCY262153 NTC262153 NJG262153 MZK262153 MPO262153 MFS262153 LVW262153 LMA262153 LCE262153 KSI262153 KIM262153 JYQ262153 JOU262153 JEY262153 IVC262153 ILG262153 IBK262153 HRO262153 HHS262153 GXW262153 GOA262153 GEE262153 FUI262153 FKM262153 FAQ262153 EQU262153 EGY262153 DXC262153 DNG262153 DDK262153 CTO262153 CJS262153 BZW262153 BQA262153 BGE262153 AWI262153 AMM262153 ACQ262153 SU262153 IY262153 C262153 WVK196617 WLO196617 WBS196617 VRW196617 VIA196617 UYE196617 UOI196617 UEM196617 TUQ196617 TKU196617 TAY196617 SRC196617 SHG196617 RXK196617 RNO196617 RDS196617 QTW196617 QKA196617 QAE196617 PQI196617 PGM196617 OWQ196617 OMU196617 OCY196617 NTC196617 NJG196617 MZK196617 MPO196617 MFS196617 LVW196617 LMA196617 LCE196617 KSI196617 KIM196617 JYQ196617 JOU196617 JEY196617 IVC196617 ILG196617 IBK196617 HRO196617 HHS196617 GXW196617 GOA196617 GEE196617 FUI196617 FKM196617 FAQ196617 EQU196617 EGY196617 DXC196617 DNG196617 DDK196617 CTO196617 CJS196617 BZW196617 BQA196617 BGE196617 AWI196617 AMM196617 ACQ196617 SU196617 IY196617 C196617 WVK131081 WLO131081 WBS131081 VRW131081 VIA131081 UYE131081 UOI131081 UEM131081 TUQ131081 TKU131081 TAY131081 SRC131081 SHG131081 RXK131081 RNO131081 RDS131081 QTW131081 QKA131081 QAE131081 PQI131081 PGM131081 OWQ131081 OMU131081 OCY131081 NTC131081 NJG131081 MZK131081 MPO131081 MFS131081 LVW131081 LMA131081 LCE131081 KSI131081 KIM131081 JYQ131081 JOU131081 JEY131081 IVC131081 ILG131081 IBK131081 HRO131081 HHS131081 GXW131081 GOA131081 GEE131081 FUI131081 FKM131081 FAQ131081 EQU131081 EGY131081 DXC131081 DNG131081 DDK131081 CTO131081 CJS131081 BZW131081 BQA131081 BGE131081 AWI131081 AMM131081 ACQ131081 SU131081 IY131081 C131081 WVK65545 WLO65545 WBS65545 VRW65545 VIA65545 UYE65545 UOI65545 UEM65545 TUQ65545 TKU65545 TAY65545 SRC65545 SHG65545 RXK65545 RNO65545 RDS65545 QTW65545 QKA65545 QAE65545 PQI65545 PGM65545 OWQ65545 OMU65545 OCY65545 NTC65545 NJG65545 MZK65545 MPO65545 MFS65545 LVW65545 LMA65545 LCE65545 KSI65545 KIM65545 JYQ65545 JOU65545 JEY65545 IVC65545 ILG65545 IBK65545 HRO65545 HHS65545 GXW65545 GOA65545 GEE65545 FUI65545 FKM65545 FAQ65545 EQU65545 EGY65545 DXC65545 DNG65545 DDK65545 CTO65545 CJS65545 BZW65545 BQA65545 BGE65545 AWI65545 AMM65545 ACQ65545 SU65545 IY65545">
      <formula1>$K$5:$K$6</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PILE ARRANGEMENT(Metric)</vt:lpstr>
      <vt:lpstr>PILE ARRANGEMENT(SI)</vt:lpstr>
      <vt:lpstr>PILE CAPACITY(USING SPT)</vt:lpstr>
      <vt:lpstr>Pile Cap Calculations  </vt:lpstr>
      <vt:lpstr>Spring Constant</vt:lpstr>
      <vt:lpstr>GW tank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Humayun Kabir</dc:creator>
  <cp:lastModifiedBy>User</cp:lastModifiedBy>
  <dcterms:created xsi:type="dcterms:W3CDTF">2018-01-16T20:24:57Z</dcterms:created>
  <dcterms:modified xsi:type="dcterms:W3CDTF">2021-12-22T12:48:18Z</dcterms:modified>
</cp:coreProperties>
</file>