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20" activeTab="2"/>
  </bookViews>
  <sheets>
    <sheet name="Punching in Slab" sheetId="4" r:id="rId1"/>
    <sheet name="Drop Panel Calculation" sheetId="6" r:id="rId2"/>
    <sheet name="Slab Design" sheetId="7" r:id="rId3"/>
    <sheet name="Rebar Data" sheetId="2" r:id="rId4"/>
    <sheet name="Revision" sheetId="3" r:id="rId5"/>
    <sheet name="shear wall" sheetId="5" r:id="rId6"/>
  </sheets>
  <definedNames>
    <definedName name="a" localSheetId="0">'Punching in Slab'!#REF!</definedName>
    <definedName name="a">#REF!</definedName>
    <definedName name="ab" localSheetId="0">'Punching in Slab'!#REF!</definedName>
    <definedName name="ab">#REF!</definedName>
    <definedName name="Aclosedtotal">'Punching in Slab'!#REF!</definedName>
    <definedName name="Acp">'Punching in Slab'!#REF!</definedName>
    <definedName name="Al">'Punching in Slab'!#REF!</definedName>
    <definedName name="Almin">'Punching in Slab'!#REF!</definedName>
    <definedName name="amax" localSheetId="0">'Punching in Slab'!#REF!</definedName>
    <definedName name="amax">#REF!</definedName>
    <definedName name="Ao">'Punching in Slab'!#REF!</definedName>
    <definedName name="Aoh">'Punching in Slab'!#REF!</definedName>
    <definedName name="As" localSheetId="0">'Punching in Slab'!#REF!</definedName>
    <definedName name="As">#REF!</definedName>
    <definedName name="Asact">'Punching in Slab'!#REF!</definedName>
    <definedName name="Ascomp">'Punching in Slab'!#REF!</definedName>
    <definedName name="Ascompact">'Punching in Slab'!#REF!</definedName>
    <definedName name="Astirruptotal">'Punching in Slab'!#REF!</definedName>
    <definedName name="AsttotalLeg">'Punching in Slab'!#REF!</definedName>
    <definedName name="At">'Punching in Slab'!#REF!</definedName>
    <definedName name="Atmin">'Punching in Slab'!#REF!</definedName>
    <definedName name="Av">'Punching in Slab'!$C$45</definedName>
    <definedName name="AvLeg">'Punching in Slab'!#REF!</definedName>
    <definedName name="Avmin">'Punching in Slab'!#REF!</definedName>
    <definedName name="b" localSheetId="0">'Punching in Slab'!#REF!</definedName>
    <definedName name="b">#REF!</definedName>
    <definedName name="b_1">'Punching in Slab'!$C$25</definedName>
    <definedName name="b_2">'Punching in Slab'!$F$25</definedName>
    <definedName name="bo">'Punching in Slab'!$C$26</definedName>
    <definedName name="bo_calc">'Punching in Slab'!$M$43</definedName>
    <definedName name="bo_substracted">'Punching in Slab'!$I$25</definedName>
    <definedName name="C_1">'Punching in Slab'!$C$14</definedName>
    <definedName name="C_2">'Punching in Slab'!$C$15</definedName>
    <definedName name="Case">'Punching in Slab'!$E$16</definedName>
    <definedName name="Cb" localSheetId="0">'Punching in Slab'!#REF!</definedName>
    <definedName name="Cb">#REF!</definedName>
    <definedName name="Cc">'Punching in Slab'!#REF!</definedName>
    <definedName name="Cconc">'Punching in Slab'!#REF!</definedName>
    <definedName name="Cmax">'Punching in Slab'!#REF!</definedName>
    <definedName name="Col_Loc">'Punching in Slab'!#REF!</definedName>
    <definedName name="Colb">'Punching in Slab'!#REF!</definedName>
    <definedName name="Colh">'Punching in Slab'!#REF!</definedName>
    <definedName name="ColumnLocation">'Punching in Slab'!$L$18:$L$21</definedName>
    <definedName name="Cover">'Punching in Slab'!$C$10</definedName>
    <definedName name="Cst">'Punching in Slab'!#REF!</definedName>
    <definedName name="Cεscomp">'Punching in Slab'!#REF!</definedName>
    <definedName name="d" localSheetId="0">'Punching in Slab'!$C$11</definedName>
    <definedName name="d">#REF!</definedName>
    <definedName name="dcomp" localSheetId="0">'Punching in Slab'!#REF!</definedName>
    <definedName name="dcomp">#REF!</definedName>
    <definedName name="DIA">'Rebar Data'!$B$4:$B$14</definedName>
    <definedName name="DIAM" localSheetId="0">'Punching in Slab'!#REF!</definedName>
    <definedName name="DIAM">#REF!</definedName>
    <definedName name="DIAMcomp">'Punching in Slab'!#REF!</definedName>
    <definedName name="diast">'Punching in Slab'!#REF!</definedName>
    <definedName name="dp">'Punching in Slab'!$F$45</definedName>
    <definedName name="e">'Punching in Slab'!$C$68</definedName>
    <definedName name="EGCASE">'Rebar Data'!$E$4:$E$14</definedName>
    <definedName name="Es" localSheetId="0">'Punching in Slab'!#REF!</definedName>
    <definedName name="Es">#REF!</definedName>
    <definedName name="fc" localSheetId="0">'Punching in Slab'!$F$10</definedName>
    <definedName name="fc">#REF!</definedName>
    <definedName name="fdytruytui">'Punching in Slab'!$C$21</definedName>
    <definedName name="fy" localSheetId="0">'Punching in Slab'!$F$9</definedName>
    <definedName name="fy">#REF!</definedName>
    <definedName name="fyt">'Punching in Slab'!$F$11</definedName>
    <definedName name="gdfg">'Punching in Slab'!$C$63</definedName>
    <definedName name="h" localSheetId="0">'Punching in Slab'!#REF!</definedName>
    <definedName name="h">#REF!</definedName>
    <definedName name="J_C_1">'Punching in Slab'!$D$35</definedName>
    <definedName name="J_C_2">'Punching in Slab'!$G$35</definedName>
    <definedName name="LCase">'Punching in Slab'!#REF!</definedName>
    <definedName name="Mu" localSheetId="0">'Punching in Slab'!#REF!</definedName>
    <definedName name="Mu">#REF!</definedName>
    <definedName name="Mu_1">'Punching in Slab'!$C$21</definedName>
    <definedName name="Mu_2">'Punching in Slab'!$C$22</definedName>
    <definedName name="Mucomp" localSheetId="0">'Punching in Slab'!#REF!</definedName>
    <definedName name="Mucomp">#REF!</definedName>
    <definedName name="No" localSheetId="0">'Punching in Slab'!#REF!</definedName>
    <definedName name="No">#REF!</definedName>
    <definedName name="Nocomp">'Punching in Slab'!#REF!</definedName>
    <definedName name="nst">'Punching in Slab'!$C$46</definedName>
    <definedName name="Nu">'Punching in Slab'!#REF!</definedName>
    <definedName name="open_exist">'Punching in Slab'!$O$9:$O$10</definedName>
    <definedName name="open_option">'Punching in Slab'!$L$42</definedName>
    <definedName name="Pcp">'Punching in Slab'!#REF!</definedName>
    <definedName name="Ph">'Punching in Slab'!#REF!</definedName>
    <definedName name="_xlnm.Print_Area" localSheetId="0">'Punching in Slab'!$A$1:$J$78</definedName>
    <definedName name="_xlnm.Print_Titles" localSheetId="0">'Punching in Slab'!$1:$6</definedName>
    <definedName name="Rebar_Table">'Rebar Data'!$B$4:$C$14</definedName>
    <definedName name="Ru" localSheetId="0">'Punching in Slab'!#REF!</definedName>
    <definedName name="Ru">#REF!</definedName>
    <definedName name="s">'Punching in Slab'!#REF!</definedName>
    <definedName name="S_max">'Punching in Slab'!$H$44</definedName>
    <definedName name="Sst">'Punching in Slab'!$C$44</definedName>
    <definedName name="t">'Punching in Slab'!$C$9</definedName>
    <definedName name="Table_col_location">'Punching in Slab'!$L$18:$N$21</definedName>
    <definedName name="Table_External">'Rebar Data'!$E$10:$E$11</definedName>
    <definedName name="Table_Y_N">'Rebar Data'!$E$7:$E$8</definedName>
    <definedName name="Tcr">'Punching in Slab'!#REF!</definedName>
    <definedName name="Tneg">'Punching in Slab'!#REF!</definedName>
    <definedName name="Tu">'Punching in Slab'!#REF!</definedName>
    <definedName name="uipouipoip">'Punching in Slab'!$F$21</definedName>
    <definedName name="uiuyiouoo">'Punching in Slab'!$C$22</definedName>
    <definedName name="v_u">'Punching in Slab'!$E$38</definedName>
    <definedName name="Vc">'Punching in Slab'!#REF!</definedName>
    <definedName name="Vmax">'Punching in Slab'!#REF!</definedName>
    <definedName name="Vn">'Punching in Slab'!#REF!</definedName>
    <definedName name="vs">'Punching in Slab'!$C$43</definedName>
    <definedName name="vs_max">'Punching in Slab'!$H$43</definedName>
    <definedName name="vscalc.">'Punching in Slab'!#REF!</definedName>
    <definedName name="Vsmax">'Punching in Slab'!#REF!</definedName>
    <definedName name="Vu" localSheetId="0">'Punching in Slab'!$C$20</definedName>
    <definedName name="Vu">#REF!</definedName>
    <definedName name="vuall">'Punching in Slab'!#REF!</definedName>
    <definedName name="vucalc">'Punching in Slab'!$M$44</definedName>
    <definedName name="α">'Punching in Slab'!#REF!</definedName>
    <definedName name="αs">'Punching in Slab'!$C$18</definedName>
    <definedName name="ᵦ">'Punching in Slab'!$C$17</definedName>
    <definedName name="β1" localSheetId="0">'Punching in Slab'!#REF!</definedName>
    <definedName name="β1">#REF!</definedName>
    <definedName name="γf">'Punching in Slab'!#REF!</definedName>
    <definedName name="γf_1">'Punching in Slab'!$D$33</definedName>
    <definedName name="γf1">'Punching in Slab'!#REF!</definedName>
    <definedName name="γf2">'Punching in Slab'!$G$33</definedName>
    <definedName name="γv">'Punching in Slab'!#REF!</definedName>
    <definedName name="γv_1">'Punching in Slab'!$D$34</definedName>
    <definedName name="γv1">'Punching in Slab'!#REF!</definedName>
    <definedName name="γv2">'Punching in Slab'!$G$34</definedName>
    <definedName name="εc" localSheetId="0">'Punching in Slab'!#REF!</definedName>
    <definedName name="εc">#REF!</definedName>
    <definedName name="εs" localSheetId="0">'Punching in Slab'!#REF!</definedName>
    <definedName name="εs">#REF!</definedName>
    <definedName name="εscomp">'Punching in Slab'!#REF!</definedName>
    <definedName name="εy">'Punching in Slab'!#REF!</definedName>
    <definedName name="θ">'Punching in Slab'!#REF!</definedName>
    <definedName name="ρ" localSheetId="0">'Punching in Slab'!#REF!</definedName>
    <definedName name="ρ">#REF!</definedName>
    <definedName name="ρcomp">'Punching in Slab'!#REF!</definedName>
    <definedName name="ρmax" localSheetId="0">'Punching in Slab'!#REF!</definedName>
    <definedName name="ρmax">#REF!</definedName>
    <definedName name="ρmin" localSheetId="0">'Punching in Slab'!#REF!</definedName>
    <definedName name="ρmin">#REF!</definedName>
    <definedName name="ρp" localSheetId="0">'Punching in Slab'!#REF!</definedName>
    <definedName name="ρp">#REF!</definedName>
    <definedName name="ρreqd" localSheetId="0">'Punching in Slab'!#REF!</definedName>
    <definedName name="ρreqd">#REF!</definedName>
    <definedName name="Φ" localSheetId="0">'Punching in Slab'!#REF!</definedName>
    <definedName name="Φ">#REF!</definedName>
    <definedName name="ΦMn" localSheetId="0">'Punching in Slab'!#REF!</definedName>
    <definedName name="ΦMn">#REF!</definedName>
    <definedName name="ΦMnbal" localSheetId="0">'Punching in Slab'!#REF!</definedName>
    <definedName name="ΦMnbal">#REF!</definedName>
    <definedName name="ΦMncomp">'Punching in Slab'!#REF!</definedName>
    <definedName name="Φshear">'Punching in Slab'!$C$27</definedName>
    <definedName name="ΦVc">'Punching in Slab'!$C$31</definedName>
    <definedName name="Φvn">'Punching in Slab'!#REF!</definedName>
    <definedName name="Φvn_max">'Punching in Slab'!$E$37</definedName>
    <definedName name="Φvuall">'Punching in Slab'!#REF!</definedName>
  </definedNames>
  <calcPr calcId="162913"/>
</workbook>
</file>

<file path=xl/calcChain.xml><?xml version="1.0" encoding="utf-8"?>
<calcChain xmlns="http://schemas.openxmlformats.org/spreadsheetml/2006/main">
  <c r="E47" i="6" l="1"/>
  <c r="E46" i="6"/>
  <c r="G43" i="6"/>
  <c r="F47" i="6" s="1"/>
  <c r="G37" i="6"/>
  <c r="E37" i="6"/>
  <c r="F35" i="6"/>
  <c r="E35" i="6"/>
  <c r="E36" i="6" s="1"/>
  <c r="H19" i="6"/>
  <c r="H20" i="6" s="1"/>
  <c r="H22" i="6" s="1"/>
  <c r="H12" i="6"/>
  <c r="H7" i="6"/>
  <c r="E41" i="6" l="1"/>
  <c r="E42" i="6" s="1"/>
  <c r="H10" i="6"/>
  <c r="H11" i="6"/>
  <c r="E33" i="6" s="1"/>
  <c r="E34" i="6" s="1"/>
  <c r="F46" i="6"/>
  <c r="E26" i="6" l="1"/>
  <c r="G26" i="6" s="1"/>
  <c r="E25" i="6"/>
  <c r="G25" i="6" s="1"/>
  <c r="E27" i="6"/>
  <c r="G27" i="6" s="1"/>
  <c r="G28" i="6" l="1"/>
  <c r="E30" i="6" s="1"/>
  <c r="G30" i="6" s="1"/>
  <c r="F31" i="5" l="1"/>
  <c r="F24" i="5"/>
  <c r="F29" i="5" s="1"/>
  <c r="H29" i="5" s="1"/>
  <c r="F19" i="5"/>
  <c r="F18" i="5"/>
  <c r="F32" i="5" s="1"/>
  <c r="F17" i="5"/>
  <c r="F30" i="5" s="1"/>
  <c r="F33" i="5" s="1"/>
  <c r="F16" i="5"/>
  <c r="F10" i="5"/>
  <c r="F15" i="5" s="1"/>
  <c r="H15" i="5" s="1"/>
  <c r="F25" i="5" l="1"/>
  <c r="F26" i="5" s="1"/>
  <c r="F11" i="5"/>
  <c r="F12" i="5" s="1"/>
  <c r="E37" i="4"/>
  <c r="H43" i="4"/>
  <c r="C18" i="4" l="1"/>
  <c r="C17" i="4"/>
  <c r="E16" i="4" l="1"/>
  <c r="I46" i="4" l="1"/>
  <c r="C11" i="4" l="1"/>
  <c r="H44" i="4" s="1"/>
  <c r="E44" i="4" s="1"/>
  <c r="C25" i="4" l="1"/>
  <c r="F25" i="4"/>
  <c r="E30" i="4"/>
  <c r="E28" i="4"/>
  <c r="M33" i="4" l="1"/>
  <c r="M32" i="4"/>
  <c r="M31" i="4"/>
  <c r="M30" i="4"/>
  <c r="L32" i="4"/>
  <c r="L33" i="4"/>
  <c r="L30" i="4"/>
  <c r="L31" i="4"/>
  <c r="D35" i="4"/>
  <c r="G35" i="4"/>
  <c r="D33" i="4"/>
  <c r="D34" i="4" s="1"/>
  <c r="C26" i="4"/>
  <c r="E29" i="4" s="1"/>
  <c r="C31" i="4" s="1"/>
  <c r="G33" i="4"/>
  <c r="G34" i="4" s="1"/>
  <c r="H4" i="4"/>
  <c r="C7" i="2"/>
  <c r="E38" i="4" l="1"/>
  <c r="C5" i="2"/>
  <c r="C6" i="2"/>
  <c r="C8" i="2"/>
  <c r="C9" i="2"/>
  <c r="C10" i="2"/>
  <c r="C11" i="2"/>
  <c r="C12" i="2"/>
  <c r="C13" i="2"/>
  <c r="C14" i="2"/>
  <c r="C4" i="2"/>
  <c r="C49" i="4" l="1"/>
  <c r="C43" i="4"/>
  <c r="C45" i="4" s="1"/>
  <c r="C47" i="4" s="1"/>
  <c r="C48" i="4"/>
  <c r="G38" i="4"/>
  <c r="H38" i="4" s="1"/>
  <c r="G39" i="4"/>
  <c r="E48" i="4" l="1"/>
  <c r="H39" i="4"/>
</calcChain>
</file>

<file path=xl/comments1.xml><?xml version="1.0" encoding="utf-8"?>
<comments xmlns="http://schemas.openxmlformats.org/spreadsheetml/2006/main">
  <authors>
    <author>M. Abu Shady</author>
    <author>Dell</author>
  </authors>
  <commentList>
    <comment ref="B21" authorId="0" shapeId="0">
      <text>
        <r>
          <rPr>
            <b/>
            <sz val="9"/>
            <color indexed="81"/>
            <rFont val="Tahoma"/>
            <family val="2"/>
          </rPr>
          <t>M. Abu Shady:
Mu1 is Moment in direction 1 (column depth) around dirction 2 (column width)</t>
        </r>
        <r>
          <rPr>
            <sz val="9"/>
            <color indexed="81"/>
            <rFont val="Tahoma"/>
            <family val="2"/>
          </rPr>
          <t xml:space="preserve">
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M. Abu Shady:</t>
        </r>
        <r>
          <rPr>
            <sz val="9"/>
            <color indexed="81"/>
            <rFont val="Tahoma"/>
            <family val="2"/>
          </rPr>
          <t xml:space="preserve">
b</t>
        </r>
        <r>
          <rPr>
            <vertAlign val="subscript"/>
            <sz val="9"/>
            <color indexed="81"/>
            <rFont val="Tahoma"/>
            <family val="2"/>
          </rPr>
          <t>o substracted</t>
        </r>
        <r>
          <rPr>
            <sz val="9"/>
            <color indexed="81"/>
            <rFont val="Tahoma"/>
            <family val="2"/>
          </rPr>
          <t xml:space="preserve">
is a Substracted Length from b</t>
        </r>
        <r>
          <rPr>
            <vertAlign val="subscript"/>
            <sz val="9"/>
            <color indexed="81"/>
            <rFont val="Tahoma"/>
            <family val="2"/>
          </rPr>
          <t>o</t>
        </r>
        <r>
          <rPr>
            <sz val="9"/>
            <color indexed="81"/>
            <rFont val="Tahoma"/>
            <family val="2"/>
          </rPr>
          <t xml:space="preserve"> perimeter due to opens,… ect.</t>
        </r>
      </text>
    </comment>
    <comment ref="L42" authorId="1" shapeId="0">
      <text>
        <r>
          <rPr>
            <b/>
            <sz val="10"/>
            <color indexed="81"/>
            <rFont val="Tahoma"/>
            <family val="2"/>
          </rPr>
          <t>to use b</t>
        </r>
        <r>
          <rPr>
            <b/>
            <vertAlign val="subscript"/>
            <sz val="10"/>
            <color indexed="81"/>
            <rFont val="Tahoma"/>
            <family val="2"/>
          </rPr>
          <t>o calc.</t>
        </r>
        <r>
          <rPr>
            <b/>
            <sz val="10"/>
            <color indexed="81"/>
            <rFont val="Tahoma"/>
            <family val="2"/>
          </rPr>
          <t xml:space="preserve"> &amp; v</t>
        </r>
        <r>
          <rPr>
            <b/>
            <vertAlign val="subscript"/>
            <sz val="10"/>
            <color indexed="81"/>
            <rFont val="Tahoma"/>
            <family val="2"/>
          </rPr>
          <t>u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vertAlign val="subscript"/>
            <sz val="10"/>
            <color indexed="81"/>
            <rFont val="Tahoma"/>
            <family val="2"/>
          </rPr>
          <t xml:space="preserve">calc. </t>
        </r>
        <r>
          <rPr>
            <b/>
            <sz val="10"/>
            <color indexed="81"/>
            <rFont val="Tahoma"/>
            <family val="2"/>
          </rPr>
          <t xml:space="preserve"> Values in Below Table In V</t>
        </r>
        <r>
          <rPr>
            <b/>
            <vertAlign val="subscript"/>
            <sz val="10"/>
            <color indexed="81"/>
            <rFont val="Tahoma"/>
            <family val="2"/>
          </rPr>
          <t>s</t>
        </r>
        <r>
          <rPr>
            <b/>
            <sz val="10"/>
            <color indexed="81"/>
            <rFont val="Tahoma"/>
            <family val="2"/>
          </rPr>
          <t xml:space="preserve">  &amp; A</t>
        </r>
        <r>
          <rPr>
            <b/>
            <vertAlign val="subscript"/>
            <sz val="10"/>
            <color indexed="81"/>
            <rFont val="Tahoma"/>
            <family val="2"/>
          </rPr>
          <t>v</t>
        </r>
        <r>
          <rPr>
            <b/>
            <sz val="10"/>
            <color indexed="81"/>
            <rFont val="Tahoma"/>
            <family val="2"/>
          </rPr>
          <t xml:space="preserve"> calculation choose External_Calc.  option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<sst xmlns="http://schemas.openxmlformats.org/spreadsheetml/2006/main" count="310" uniqueCount="184">
  <si>
    <t>mm</t>
  </si>
  <si>
    <t>cover</t>
  </si>
  <si>
    <t>d</t>
  </si>
  <si>
    <t>fy</t>
  </si>
  <si>
    <t>KN.m</t>
  </si>
  <si>
    <t>KN</t>
  </si>
  <si>
    <t>N/mm2</t>
  </si>
  <si>
    <t>fc'</t>
  </si>
  <si>
    <t>DIA (mm)</t>
  </si>
  <si>
    <r>
      <t>Area (mm</t>
    </r>
    <r>
      <rPr>
        <b/>
        <vertAlign val="superscript"/>
        <sz val="11"/>
        <color rgb="FF00B050"/>
        <rFont val="Calibri"/>
        <family val="2"/>
        <scheme val="minor"/>
      </rPr>
      <t>2</t>
    </r>
    <r>
      <rPr>
        <b/>
        <sz val="11"/>
        <color rgb="FF00B050"/>
        <rFont val="Calibri"/>
        <family val="2"/>
        <scheme val="minor"/>
      </rPr>
      <t>)</t>
    </r>
  </si>
  <si>
    <t>Case</t>
  </si>
  <si>
    <t>E</t>
  </si>
  <si>
    <t>G</t>
  </si>
  <si>
    <t>ACI 9.3.2.3 &amp; ACI 9.3.4.a</t>
  </si>
  <si>
    <r>
      <t>f</t>
    </r>
    <r>
      <rPr>
        <vertAlign val="subscript"/>
        <sz val="11"/>
        <color theme="1"/>
        <rFont val="Calibri"/>
        <family val="2"/>
        <scheme val="minor"/>
      </rPr>
      <t>yt</t>
    </r>
  </si>
  <si>
    <r>
      <t>A</t>
    </r>
    <r>
      <rPr>
        <vertAlign val="subscript"/>
        <sz val="11"/>
        <color theme="1"/>
        <rFont val="Calibri"/>
        <family val="2"/>
        <scheme val="minor"/>
      </rPr>
      <t>v</t>
    </r>
  </si>
  <si>
    <r>
      <t>V</t>
    </r>
    <r>
      <rPr>
        <vertAlign val="subscript"/>
        <sz val="11"/>
        <color theme="1"/>
        <rFont val="Calibri"/>
        <family val="2"/>
        <scheme val="minor"/>
      </rPr>
      <t>u</t>
    </r>
  </si>
  <si>
    <t>For Seismic Cases</t>
  </si>
  <si>
    <t>For Non-seismic Cases</t>
  </si>
  <si>
    <t>Project :-</t>
  </si>
  <si>
    <t>Building :-</t>
  </si>
  <si>
    <t>Element:-</t>
  </si>
  <si>
    <t>Designed by:-</t>
  </si>
  <si>
    <t>M. Abu Shady</t>
  </si>
  <si>
    <t>General Input :-</t>
  </si>
  <si>
    <t>Location:-</t>
  </si>
  <si>
    <t>Checked by:-</t>
  </si>
  <si>
    <t>Date:-</t>
  </si>
  <si>
    <r>
      <t>N/mm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</si>
  <si>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</si>
  <si>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Interior Column</t>
  </si>
  <si>
    <t>Corner Column</t>
  </si>
  <si>
    <t>Column Location</t>
  </si>
  <si>
    <r>
      <t>b</t>
    </r>
    <r>
      <rPr>
        <vertAlign val="subscript"/>
        <sz val="11"/>
        <color theme="1"/>
        <rFont val="Calibri"/>
        <family val="2"/>
        <scheme val="minor"/>
      </rPr>
      <t>o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</si>
  <si>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</si>
  <si>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</si>
  <si>
    <t>ᵦ</t>
  </si>
  <si>
    <t>ACI 11.11.2.1.a</t>
  </si>
  <si>
    <t>Punching Shear  Input</t>
  </si>
  <si>
    <t>Column Dimensions</t>
  </si>
  <si>
    <r>
      <t>M</t>
    </r>
    <r>
      <rPr>
        <vertAlign val="subscript"/>
        <sz val="11"/>
        <color theme="1"/>
        <rFont val="Calibri"/>
        <family val="2"/>
        <scheme val="minor"/>
      </rPr>
      <t>u1</t>
    </r>
  </si>
  <si>
    <t>Punching Shear Strength Design of RC Slab  According ACI318M-08</t>
  </si>
  <si>
    <t>αs</t>
  </si>
  <si>
    <t>ACI 11.11.2.1.b</t>
  </si>
  <si>
    <r>
      <t>Normal weight concrete</t>
    </r>
    <r>
      <rPr>
        <b/>
        <sz val="11"/>
        <color theme="1"/>
        <rFont val="Calibri"/>
        <family val="2"/>
        <scheme val="minor"/>
      </rPr>
      <t xml:space="preserve"> λ = 1</t>
    </r>
  </si>
  <si>
    <t>Flat Slab Input</t>
  </si>
  <si>
    <t>Slab thk   t</t>
  </si>
  <si>
    <t>ACI 11.11.2.1.c</t>
  </si>
  <si>
    <r>
      <t>M</t>
    </r>
    <r>
      <rPr>
        <vertAlign val="subscript"/>
        <sz val="11"/>
        <color theme="1"/>
        <rFont val="Calibri"/>
        <family val="2"/>
        <scheme val="minor"/>
      </rPr>
      <t>u2</t>
    </r>
    <r>
      <rPr>
        <sz val="11"/>
        <color theme="1"/>
        <rFont val="Calibri"/>
        <family val="2"/>
        <charset val="178"/>
        <scheme val="minor"/>
      </rPr>
      <t/>
    </r>
  </si>
  <si>
    <r>
      <t>mm</t>
    </r>
    <r>
      <rPr>
        <sz val="11"/>
        <color theme="1"/>
        <rFont val="Calibri"/>
        <family val="2"/>
        <charset val="178"/>
        <scheme val="minor"/>
      </rPr>
      <t/>
    </r>
  </si>
  <si>
    <t>a-Calculation of RC  punching shear resistance without shear reinforcement (φVn = φVc)</t>
  </si>
  <si>
    <t>b-Calculation of unbalanced moment transferred by eccentricity of shear</t>
  </si>
  <si>
    <t>ACI  13.5.3.2</t>
  </si>
  <si>
    <t>ACI  11.11.7.1</t>
  </si>
  <si>
    <t>ACI 11.11.1.2</t>
  </si>
  <si>
    <t>c-Calculation of total punching stress</t>
  </si>
  <si>
    <t>d-Calculation of Shear RFT.</t>
  </si>
  <si>
    <t>ACI  11.11.5.2.a &amp;b</t>
  </si>
  <si>
    <r>
      <t>S</t>
    </r>
    <r>
      <rPr>
        <vertAlign val="subscript"/>
        <sz val="11"/>
        <color theme="1"/>
        <rFont val="Calibri"/>
        <family val="2"/>
        <scheme val="minor"/>
      </rPr>
      <t>stirrup</t>
    </r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</si>
  <si>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</si>
  <si>
    <r>
      <t>n</t>
    </r>
    <r>
      <rPr>
        <vertAlign val="subscript"/>
        <sz val="11"/>
        <color theme="1"/>
        <rFont val="Calibri"/>
        <family val="2"/>
        <scheme val="minor"/>
      </rPr>
      <t>stirrup branch</t>
    </r>
  </si>
  <si>
    <r>
      <t>A</t>
    </r>
    <r>
      <rPr>
        <vertAlign val="subscript"/>
        <sz val="11"/>
        <color theme="1"/>
        <rFont val="Calibri"/>
        <family val="2"/>
        <scheme val="minor"/>
      </rPr>
      <t>v/stirrup leg</t>
    </r>
  </si>
  <si>
    <r>
      <t>b</t>
    </r>
    <r>
      <rPr>
        <vertAlign val="subscript"/>
        <sz val="11"/>
        <color theme="1"/>
        <rFont val="Calibri"/>
        <family val="2"/>
        <scheme val="minor"/>
      </rPr>
      <t>o calc.</t>
    </r>
  </si>
  <si>
    <r>
      <t>v</t>
    </r>
    <r>
      <rPr>
        <vertAlign val="subscript"/>
        <sz val="11"/>
        <color theme="1"/>
        <rFont val="Calibri"/>
        <family val="2"/>
        <scheme val="minor"/>
      </rPr>
      <t>u calc.</t>
    </r>
  </si>
  <si>
    <t>No.</t>
  </si>
  <si>
    <r>
      <rPr>
        <sz val="11"/>
        <color theme="1"/>
        <rFont val="Calibri"/>
        <family val="2"/>
        <charset val="178"/>
        <scheme val="minor"/>
      </rPr>
      <t>α</t>
    </r>
    <r>
      <rPr>
        <vertAlign val="subscript"/>
        <sz val="11"/>
        <color theme="1"/>
        <rFont val="Calibri"/>
        <family val="2"/>
        <charset val="178"/>
        <scheme val="minor"/>
      </rPr>
      <t>s</t>
    </r>
  </si>
  <si>
    <t>Stirrup Dia.</t>
  </si>
  <si>
    <r>
      <t>A</t>
    </r>
    <r>
      <rPr>
        <vertAlign val="subscript"/>
        <sz val="8"/>
        <rFont val="Arial"/>
        <family val="2"/>
        <charset val="178"/>
      </rPr>
      <t>v bar act</t>
    </r>
  </si>
  <si>
    <t>rev1.0</t>
  </si>
  <si>
    <t xml:space="preserve">Date: </t>
  </si>
  <si>
    <t>it is now calculating the value of 0.17*(1+2/ᵦ)*SQRT(fc) correctly.</t>
  </si>
  <si>
    <t>Project</t>
  </si>
  <si>
    <t>Building</t>
  </si>
  <si>
    <t>Element</t>
  </si>
  <si>
    <t>Location</t>
  </si>
  <si>
    <t>1-</t>
  </si>
  <si>
    <r>
      <t>correcting the calculation of cell</t>
    </r>
    <r>
      <rPr>
        <b/>
        <sz val="11"/>
        <color rgb="FFFF0000"/>
        <rFont val="Calibri"/>
        <family val="2"/>
        <scheme val="minor"/>
      </rPr>
      <t xml:space="preserve"> E30</t>
    </r>
    <r>
      <rPr>
        <sz val="11"/>
        <color theme="1"/>
        <rFont val="Calibri"/>
        <family val="2"/>
        <charset val="178"/>
        <scheme val="minor"/>
      </rPr>
      <t>, it was a constant value in pervious rev.</t>
    </r>
  </si>
  <si>
    <t>2-</t>
  </si>
  <si>
    <t>All cells equations now are visible even if the sheet is password protected.</t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</si>
  <si>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8"/>
        <color theme="1"/>
        <rFont val="Calibri"/>
        <family val="2"/>
        <scheme val="minor"/>
      </rPr>
      <t>Width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</si>
  <si>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9"/>
        <color theme="1"/>
        <rFont val="Calibri"/>
        <family val="2"/>
        <scheme val="minor"/>
      </rPr>
      <t>Depth</t>
    </r>
  </si>
  <si>
    <t>Total number of branches distributed on all sides</t>
  </si>
  <si>
    <r>
      <t>a</t>
    </r>
    <r>
      <rPr>
        <sz val="9"/>
        <color theme="1"/>
        <rFont val="Calibri"/>
        <family val="2"/>
        <scheme val="minor"/>
      </rPr>
      <t xml:space="preserve"> distance</t>
    </r>
  </si>
  <si>
    <t>3-</t>
  </si>
  <si>
    <t>Modifiying the shear rft. Calculations.</t>
  </si>
  <si>
    <r>
      <t xml:space="preserve">This sheet is created by M. Abushady 
</t>
    </r>
    <r>
      <rPr>
        <u/>
        <sz val="11"/>
        <color theme="1"/>
        <rFont val="Calibri"/>
        <family val="2"/>
        <scheme val="minor"/>
      </rPr>
      <t xml:space="preserve">For New versions check </t>
    </r>
    <r>
      <rPr>
        <b/>
        <sz val="11"/>
        <color rgb="FF0000FF"/>
        <rFont val="Calibri"/>
        <family val="2"/>
        <scheme val="minor"/>
      </rPr>
      <t>http://mohamedabushady.blogspot.com/</t>
    </r>
    <r>
      <rPr>
        <sz val="11"/>
        <color theme="1"/>
        <rFont val="Calibri"/>
        <family val="2"/>
        <charset val="178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For comments &amp; notes on this sheet</t>
    </r>
    <r>
      <rPr>
        <sz val="11"/>
        <color theme="1"/>
        <rFont val="Calibri"/>
        <family val="2"/>
        <charset val="178"/>
        <scheme val="minor"/>
      </rPr>
      <t xml:space="preserve">, Send an e-mail to </t>
    </r>
    <r>
      <rPr>
        <b/>
        <sz val="11"/>
        <color rgb="FF0000FF"/>
        <rFont val="Calibri"/>
        <family val="2"/>
        <scheme val="minor"/>
      </rPr>
      <t>m.ali.abushady@gmail.com</t>
    </r>
  </si>
  <si>
    <t>http://mohamedabushady.blogspot.com/</t>
  </si>
  <si>
    <t>Edge Column-width</t>
  </si>
  <si>
    <t>Edge Column-depth</t>
  </si>
  <si>
    <t>Case A</t>
  </si>
  <si>
    <t>Case B</t>
  </si>
  <si>
    <t>Case C</t>
  </si>
  <si>
    <t>Case D</t>
  </si>
  <si>
    <t>Position</t>
  </si>
  <si>
    <t>Yes</t>
  </si>
  <si>
    <t>No</t>
  </si>
  <si>
    <t>External_Calc.</t>
  </si>
  <si>
    <r>
      <t>b</t>
    </r>
    <r>
      <rPr>
        <vertAlign val="subscript"/>
        <sz val="11"/>
        <color theme="1"/>
        <rFont val="Calibri"/>
        <family val="2"/>
        <scheme val="minor"/>
      </rPr>
      <t>o substracted</t>
    </r>
  </si>
  <si>
    <t>No. sides</t>
  </si>
  <si>
    <r>
      <rPr>
        <i/>
        <sz val="11"/>
        <color theme="1"/>
        <rFont val="Calibri"/>
        <family val="2"/>
        <scheme val="minor"/>
      </rPr>
      <t xml:space="preserve"> V</t>
    </r>
    <r>
      <rPr>
        <i/>
        <vertAlign val="subscript"/>
        <sz val="11"/>
        <color theme="1"/>
        <rFont val="Calibri"/>
        <family val="2"/>
        <scheme val="minor"/>
      </rPr>
      <t xml:space="preserve">c </t>
    </r>
    <r>
      <rPr>
        <sz val="10"/>
        <color theme="1"/>
        <rFont val="Calibri"/>
        <family val="2"/>
        <scheme val="minor"/>
      </rPr>
      <t>= min. of</t>
    </r>
  </si>
  <si>
    <t xml:space="preserve">PCA NOTES ON ACI318-08, Fig. 16-13 </t>
  </si>
  <si>
    <r>
      <t>N/mm</t>
    </r>
    <r>
      <rPr>
        <vertAlign val="superscript"/>
        <sz val="10"/>
        <color theme="1"/>
        <rFont val="Calibri"/>
        <family val="2"/>
        <charset val="178"/>
        <scheme val="minor"/>
      </rPr>
      <t>2</t>
    </r>
  </si>
  <si>
    <r>
      <t>mm</t>
    </r>
    <r>
      <rPr>
        <vertAlign val="superscript"/>
        <sz val="10"/>
        <color theme="1"/>
        <rFont val="Calibri"/>
        <family val="2"/>
        <charset val="178"/>
        <scheme val="minor"/>
      </rPr>
      <t>2</t>
    </r>
  </si>
  <si>
    <r>
      <t>mm</t>
    </r>
    <r>
      <rPr>
        <vertAlign val="superscript"/>
        <sz val="10"/>
        <color theme="1"/>
        <rFont val="Calibri"/>
        <family val="2"/>
        <charset val="178"/>
        <scheme val="minor"/>
      </rPr>
      <t>2</t>
    </r>
    <r>
      <rPr>
        <sz val="10"/>
        <color theme="1"/>
        <rFont val="Calibri"/>
        <family val="2"/>
        <charset val="178"/>
        <scheme val="minor"/>
      </rPr>
      <t>/side/leg</t>
    </r>
  </si>
  <si>
    <t>Distance that stirrups shall be extended to it, from the column face in each side</t>
  </si>
  <si>
    <t>4-</t>
  </si>
  <si>
    <r>
      <t>adding vs max= Φshear*0.66*SQRT(fc) in cell</t>
    </r>
    <r>
      <rPr>
        <b/>
        <sz val="11"/>
        <color rgb="FFFF0000"/>
        <rFont val="Calibri"/>
        <family val="2"/>
        <scheme val="minor"/>
      </rPr>
      <t xml:space="preserve"> i42</t>
    </r>
    <r>
      <rPr>
        <sz val="11"/>
        <color theme="1"/>
        <rFont val="Calibri"/>
        <family val="2"/>
        <charset val="178"/>
        <scheme val="minor"/>
      </rPr>
      <t xml:space="preserve"> and compare it with vs calculated, as noted by "</t>
    </r>
    <r>
      <rPr>
        <b/>
        <sz val="11"/>
        <color rgb="FFFF0000"/>
        <rFont val="Calibri"/>
        <family val="2"/>
        <scheme val="minor"/>
      </rPr>
      <t>Eng. Mohamed elsawaf</t>
    </r>
    <r>
      <rPr>
        <sz val="11"/>
        <color theme="1"/>
        <rFont val="Calibri"/>
        <family val="2"/>
        <charset val="178"/>
        <scheme val="minor"/>
      </rPr>
      <t>" feedback</t>
    </r>
  </si>
  <si>
    <r>
      <t>N/mm</t>
    </r>
    <r>
      <rPr>
        <vertAlign val="superscript"/>
        <sz val="10"/>
        <color theme="1"/>
        <rFont val="Calibri"/>
        <family val="2"/>
        <charset val="178"/>
        <scheme val="minor"/>
      </rPr>
      <t>2 ,</t>
    </r>
    <r>
      <rPr>
        <sz val="10"/>
        <color theme="1"/>
        <rFont val="Calibri"/>
        <family val="2"/>
        <scheme val="minor"/>
      </rPr>
      <t>ACI  11.11.7.2.b</t>
    </r>
  </si>
  <si>
    <r>
      <t>N/mm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178"/>
        <scheme val="minor"/>
      </rPr>
      <t xml:space="preserve"> ,ACI  11.4.7.9</t>
    </r>
  </si>
  <si>
    <r>
      <t>S</t>
    </r>
    <r>
      <rPr>
        <vertAlign val="subscript"/>
        <sz val="11"/>
        <color theme="1"/>
        <rFont val="Calibri"/>
        <family val="2"/>
        <scheme val="minor"/>
      </rPr>
      <t>max</t>
    </r>
  </si>
  <si>
    <t>mm, ACI  11.11.3.3</t>
  </si>
  <si>
    <t>rev 1.1</t>
  </si>
  <si>
    <t>Thickness of Wall=</t>
  </si>
  <si>
    <t>=</t>
  </si>
  <si>
    <t>Length=</t>
  </si>
  <si>
    <t>m</t>
  </si>
  <si>
    <t>Height</t>
  </si>
  <si>
    <t xml:space="preserve"> Reinceforcement in Wall:</t>
  </si>
  <si>
    <t>Required Main/ vertical reinf from Etabs</t>
  </si>
  <si>
    <t>mm^2</t>
  </si>
  <si>
    <t>Select Rebar</t>
  </si>
  <si>
    <t>mm Φ</t>
  </si>
  <si>
    <t>Area of Rebar=</t>
  </si>
  <si>
    <t>Required spacing</t>
  </si>
  <si>
    <t>Provide Spacing (Auto Suggestion)</t>
  </si>
  <si>
    <t>Finally Provided to fulfill min Req.</t>
  </si>
  <si>
    <t>Min Required Reinf Ratio</t>
  </si>
  <si>
    <t>Provided Required Reinf Ratio</t>
  </si>
  <si>
    <t>Maximum Spacing</t>
  </si>
  <si>
    <t>Maximum Allowable Spacing</t>
  </si>
  <si>
    <t>Required Shear/ Horizontal reinf from Etabs</t>
  </si>
  <si>
    <t>Provided Reinf Ratio</t>
  </si>
  <si>
    <t>https://www.youtube.com/watch?v=pclqeYhmZFw</t>
  </si>
  <si>
    <t>Col</t>
  </si>
  <si>
    <t>Flat Slab</t>
  </si>
  <si>
    <t>Area of Column Loading=</t>
  </si>
  <si>
    <t>bo</t>
  </si>
  <si>
    <t>f'c=</t>
  </si>
  <si>
    <t>fy=</t>
  </si>
  <si>
    <t>√f'c X bo xd</t>
  </si>
  <si>
    <t>√f'c X bo</t>
  </si>
  <si>
    <t>βc</t>
  </si>
  <si>
    <t>αs=</t>
  </si>
  <si>
    <t>Critical Perimeter, d= h-1=</t>
  </si>
  <si>
    <t>Tributary Area (excluding area of b)=</t>
  </si>
  <si>
    <t>Wu</t>
  </si>
  <si>
    <t>Vu</t>
  </si>
  <si>
    <t>Φ</t>
  </si>
  <si>
    <t>Vc</t>
  </si>
  <si>
    <t>Kips</t>
  </si>
  <si>
    <t>ΦVc</t>
  </si>
  <si>
    <t>Vu/ΦVc</t>
  </si>
  <si>
    <t>1. Drop Panel Method=</t>
  </si>
  <si>
    <t>drop panel depth, d'</t>
  </si>
  <si>
    <t>drop panel thickness,h'=</t>
  </si>
  <si>
    <t>in</t>
  </si>
  <si>
    <t>hd=</t>
  </si>
  <si>
    <t>Drop Panel Dimnsion</t>
  </si>
  <si>
    <t>X</t>
  </si>
  <si>
    <t>ft^2</t>
  </si>
  <si>
    <t>2. Column Cpital Method=</t>
  </si>
  <si>
    <t>c</t>
  </si>
  <si>
    <t>d"</t>
  </si>
  <si>
    <t>θ=</t>
  </si>
  <si>
    <t>tanθ=</t>
  </si>
  <si>
    <t>y=</t>
  </si>
  <si>
    <t>in^2</t>
  </si>
  <si>
    <t>psi</t>
  </si>
  <si>
    <t>Short1</t>
  </si>
  <si>
    <t>DL</t>
  </si>
  <si>
    <t>LL</t>
  </si>
  <si>
    <t>Non Linear Cracked</t>
  </si>
  <si>
    <t>Load Case</t>
  </si>
  <si>
    <t>Short2</t>
  </si>
  <si>
    <t>Long</t>
  </si>
  <si>
    <t>Non Linear (Long term Cracked)</t>
  </si>
  <si>
    <t>Load Combination</t>
  </si>
  <si>
    <t xml:space="preserve">Linear </t>
  </si>
  <si>
    <t>Working</t>
  </si>
  <si>
    <t>Final Def</t>
  </si>
  <si>
    <t>short1</t>
  </si>
  <si>
    <t>short2</t>
  </si>
  <si>
    <t>long</t>
  </si>
  <si>
    <t>L/360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</si>
</sst>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\=\ 0.000"/>
    <numFmt numFmtId="166" formatCode="\=\ 0"/>
    <numFmt numFmtId="167" formatCode="[$-409]d\-mmm\-yy;@"/>
    <numFmt numFmtId="168" formatCode="&quot;=&quot;\ 0"/>
    <numFmt numFmtId="169" formatCode="0.000E+00"/>
    <numFmt numFmtId="170" formatCode="\=\ 0.0"/>
  </numFmts>
  <fonts count="44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vertAlign val="superscript"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</font>
    <font>
      <b/>
      <sz val="18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0"/>
      <color theme="1"/>
      <name val="Calibri"/>
      <family val="2"/>
      <scheme val="minor"/>
    </font>
    <font>
      <b/>
      <i/>
      <u/>
      <sz val="12"/>
      <color theme="1"/>
      <name val="Calibri"/>
      <family val="2"/>
    </font>
    <font>
      <sz val="14"/>
      <color theme="1"/>
      <name val="Calibri"/>
      <family val="2"/>
      <charset val="178"/>
      <scheme val="minor"/>
    </font>
    <font>
      <b/>
      <i/>
      <sz val="11"/>
      <color rgb="FF00B050"/>
      <name val="Calibri"/>
      <family val="2"/>
      <scheme val="minor"/>
    </font>
    <font>
      <b/>
      <sz val="10"/>
      <color indexed="81"/>
      <name val="Tahoma"/>
      <family val="2"/>
    </font>
    <font>
      <b/>
      <vertAlign val="subscript"/>
      <sz val="10"/>
      <color indexed="81"/>
      <name val="Tahoma"/>
      <family val="2"/>
    </font>
    <font>
      <sz val="10"/>
      <color indexed="81"/>
      <name val="Tahoma"/>
      <family val="2"/>
    </font>
    <font>
      <b/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</font>
    <font>
      <vertAlign val="subscript"/>
      <sz val="11"/>
      <color theme="1"/>
      <name val="Calibri"/>
      <family val="2"/>
      <charset val="178"/>
      <scheme val="minor"/>
    </font>
    <font>
      <vertAlign val="subscript"/>
      <sz val="8"/>
      <name val="Arial"/>
      <family val="2"/>
      <charset val="178"/>
    </font>
    <font>
      <b/>
      <u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FF"/>
      <name val="Calibri"/>
      <family val="2"/>
      <scheme val="minor"/>
    </font>
    <font>
      <vertAlign val="subscript"/>
      <sz val="9"/>
      <color indexed="81"/>
      <name val="Tahoma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charset val="178"/>
      <scheme val="minor"/>
    </font>
    <font>
      <vertAlign val="superscript"/>
      <sz val="10"/>
      <color theme="1"/>
      <name val="Calibri"/>
      <family val="2"/>
      <charset val="178"/>
      <scheme val="minor"/>
    </font>
    <font>
      <b/>
      <sz val="10.5"/>
      <color rgb="FF00B050"/>
      <name val="Calibri"/>
      <family val="2"/>
      <scheme val="minor"/>
    </font>
    <font>
      <sz val="10"/>
      <color rgb="FF0000FF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126">
    <xf numFmtId="0" fontId="0" fillId="0" borderId="0" xfId="0"/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19" xfId="0" applyFon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0" xfId="0" applyProtection="1">
      <protection hidden="1"/>
    </xf>
    <xf numFmtId="0" fontId="0" fillId="0" borderId="19" xfId="0" applyBorder="1" applyProtection="1">
      <protection hidden="1"/>
    </xf>
    <xf numFmtId="0" fontId="0" fillId="0" borderId="14" xfId="0" applyBorder="1" applyProtection="1">
      <protection hidden="1"/>
    </xf>
    <xf numFmtId="0" fontId="0" fillId="0" borderId="16" xfId="0" applyBorder="1" applyProtection="1">
      <protection hidden="1"/>
    </xf>
    <xf numFmtId="0" fontId="0" fillId="0" borderId="15" xfId="0" applyBorder="1" applyProtection="1">
      <protection hidden="1"/>
    </xf>
    <xf numFmtId="0" fontId="9" fillId="0" borderId="0" xfId="0" applyFont="1" applyBorder="1" applyProtection="1">
      <protection hidden="1"/>
    </xf>
    <xf numFmtId="0" fontId="5" fillId="0" borderId="0" xfId="0" applyFont="1" applyBorder="1" applyProtection="1"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0" xfId="0" applyBorder="1" applyProtection="1">
      <protection locked="0"/>
    </xf>
    <xf numFmtId="0" fontId="0" fillId="0" borderId="18" xfId="0" applyBorder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1" fontId="4" fillId="0" borderId="2" xfId="0" applyNumberFormat="1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3" fillId="0" borderId="5" xfId="0" applyFont="1" applyBorder="1" applyAlignment="1" applyProtection="1">
      <alignment horizontal="center" vertical="center"/>
      <protection hidden="1"/>
    </xf>
    <xf numFmtId="1" fontId="4" fillId="0" borderId="6" xfId="0" applyNumberFormat="1" applyFont="1" applyBorder="1" applyAlignment="1" applyProtection="1">
      <alignment horizontal="center" vertical="center"/>
      <protection hidden="1"/>
    </xf>
    <xf numFmtId="0" fontId="12" fillId="0" borderId="12" xfId="0" applyFont="1" applyBorder="1" applyProtection="1">
      <protection hidden="1"/>
    </xf>
    <xf numFmtId="0" fontId="13" fillId="0" borderId="17" xfId="0" applyFont="1" applyBorder="1" applyAlignment="1" applyProtection="1">
      <alignment horizontal="center" vertical="center"/>
      <protection hidden="1"/>
    </xf>
    <xf numFmtId="0" fontId="16" fillId="0" borderId="0" xfId="0" applyFont="1" applyBorder="1" applyAlignment="1" applyProtection="1">
      <alignment wrapText="1"/>
      <protection hidden="1"/>
    </xf>
    <xf numFmtId="0" fontId="0" fillId="0" borderId="0" xfId="0" applyFill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horizontal="left" vertical="center"/>
      <protection hidden="1"/>
    </xf>
    <xf numFmtId="166" fontId="4" fillId="0" borderId="0" xfId="0" applyNumberFormat="1" applyFont="1" applyBorder="1" applyAlignment="1" applyProtection="1">
      <alignment horizontal="left" vertical="center"/>
      <protection hidden="1"/>
    </xf>
    <xf numFmtId="0" fontId="3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2" fontId="0" fillId="0" borderId="0" xfId="0" applyNumberFormat="1" applyProtection="1">
      <protection hidden="1"/>
    </xf>
    <xf numFmtId="0" fontId="18" fillId="0" borderId="19" xfId="0" applyFont="1" applyBorder="1" applyProtection="1">
      <protection hidden="1"/>
    </xf>
    <xf numFmtId="0" fontId="19" fillId="0" borderId="0" xfId="0" applyFont="1" applyBorder="1" applyAlignment="1" applyProtection="1">
      <alignment horizontal="left" vertical="top"/>
      <protection hidden="1"/>
    </xf>
    <xf numFmtId="0" fontId="0" fillId="0" borderId="18" xfId="0" applyBorder="1" applyAlignment="1" applyProtection="1">
      <alignment horizontal="left" vertical="center"/>
      <protection hidden="1"/>
    </xf>
    <xf numFmtId="0" fontId="19" fillId="0" borderId="0" xfId="0" applyFont="1" applyBorder="1" applyAlignment="1" applyProtection="1">
      <alignment horizontal="left" vertical="center"/>
      <protection hidden="1"/>
    </xf>
    <xf numFmtId="166" fontId="4" fillId="0" borderId="18" xfId="0" applyNumberFormat="1" applyFont="1" applyBorder="1" applyAlignment="1" applyProtection="1">
      <alignment horizontal="left" vertical="center"/>
      <protection hidden="1"/>
    </xf>
    <xf numFmtId="0" fontId="18" fillId="0" borderId="12" xfId="0" applyFont="1" applyBorder="1" applyProtection="1">
      <protection hidden="1"/>
    </xf>
    <xf numFmtId="0" fontId="0" fillId="0" borderId="19" xfId="0" applyBorder="1" applyAlignment="1" applyProtection="1">
      <alignment horizontal="right"/>
      <protection hidden="1"/>
    </xf>
    <xf numFmtId="0" fontId="0" fillId="0" borderId="21" xfId="0" applyBorder="1" applyProtection="1">
      <protection hidden="1"/>
    </xf>
    <xf numFmtId="0" fontId="0" fillId="0" borderId="23" xfId="0" applyBorder="1" applyProtection="1">
      <protection hidden="1"/>
    </xf>
    <xf numFmtId="0" fontId="3" fillId="0" borderId="11" xfId="0" applyFont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left" vertical="center"/>
      <protection hidden="1"/>
    </xf>
    <xf numFmtId="0" fontId="3" fillId="0" borderId="20" xfId="0" applyFont="1" applyBorder="1" applyProtection="1"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0" fillId="0" borderId="0" xfId="0" applyFont="1" applyBorder="1" applyProtection="1">
      <protection hidden="1"/>
    </xf>
    <xf numFmtId="0" fontId="0" fillId="0" borderId="0" xfId="0" applyFont="1" applyProtection="1">
      <protection hidden="1"/>
    </xf>
    <xf numFmtId="0" fontId="24" fillId="0" borderId="0" xfId="0" applyFont="1" applyBorder="1" applyAlignment="1" applyProtection="1">
      <alignment horizontal="center" vertical="top"/>
      <protection hidden="1"/>
    </xf>
    <xf numFmtId="0" fontId="28" fillId="0" borderId="0" xfId="0" applyFont="1"/>
    <xf numFmtId="15" fontId="3" fillId="0" borderId="0" xfId="0" applyNumberFormat="1" applyFont="1"/>
    <xf numFmtId="0" fontId="0" fillId="0" borderId="0" xfId="0" applyAlignment="1">
      <alignment horizontal="right"/>
    </xf>
    <xf numFmtId="0" fontId="4" fillId="0" borderId="0" xfId="0" applyFont="1" applyBorder="1" applyAlignment="1" applyProtection="1">
      <alignment horizontal="center" vertical="center"/>
    </xf>
    <xf numFmtId="2" fontId="4" fillId="0" borderId="0" xfId="0" applyNumberFormat="1" applyFont="1" applyBorder="1" applyAlignment="1" applyProtection="1">
      <alignment horizontal="center" vertical="center"/>
    </xf>
    <xf numFmtId="165" fontId="4" fillId="0" borderId="0" xfId="0" applyNumberFormat="1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164" fontId="4" fillId="0" borderId="0" xfId="0" applyNumberFormat="1" applyFont="1" applyBorder="1" applyAlignment="1" applyProtection="1">
      <alignment horizontal="center" vertical="center"/>
    </xf>
    <xf numFmtId="0" fontId="32" fillId="0" borderId="0" xfId="1" applyProtection="1"/>
    <xf numFmtId="0" fontId="0" fillId="0" borderId="0" xfId="0" applyProtection="1"/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0" fillId="0" borderId="21" xfId="0" applyFont="1" applyBorder="1" applyProtection="1">
      <protection hidden="1"/>
    </xf>
    <xf numFmtId="0" fontId="0" fillId="0" borderId="22" xfId="0" applyFont="1" applyBorder="1" applyProtection="1">
      <protection hidden="1"/>
    </xf>
    <xf numFmtId="0" fontId="25" fillId="0" borderId="23" xfId="0" applyFont="1" applyBorder="1" applyProtection="1"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11" fillId="0" borderId="11" xfId="0" applyFont="1" applyBorder="1" applyAlignment="1" applyProtection="1">
      <alignment vertical="center"/>
      <protection hidden="1"/>
    </xf>
    <xf numFmtId="0" fontId="35" fillId="0" borderId="10" xfId="0" applyFont="1" applyBorder="1" applyAlignment="1" applyProtection="1">
      <alignment horizontal="right" vertical="center"/>
      <protection hidden="1"/>
    </xf>
    <xf numFmtId="0" fontId="4" fillId="0" borderId="0" xfId="0" applyFont="1" applyBorder="1" applyAlignment="1" applyProtection="1">
      <alignment horizontal="left" vertical="center"/>
    </xf>
    <xf numFmtId="165" fontId="4" fillId="0" borderId="0" xfId="0" applyNumberFormat="1" applyFont="1" applyBorder="1" applyAlignment="1" applyProtection="1">
      <alignment horizontal="left" vertical="center"/>
    </xf>
    <xf numFmtId="166" fontId="37" fillId="0" borderId="18" xfId="0" applyNumberFormat="1" applyFont="1" applyBorder="1" applyAlignment="1" applyProtection="1">
      <alignment vertical="center"/>
    </xf>
    <xf numFmtId="168" fontId="4" fillId="0" borderId="0" xfId="0" applyNumberFormat="1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  <protection hidden="1"/>
    </xf>
    <xf numFmtId="11" fontId="4" fillId="0" borderId="0" xfId="0" applyNumberFormat="1" applyFont="1" applyBorder="1" applyAlignment="1" applyProtection="1">
      <alignment vertical="center"/>
    </xf>
    <xf numFmtId="0" fontId="40" fillId="0" borderId="0" xfId="0" applyFont="1" applyBorder="1" applyAlignment="1" applyProtection="1">
      <alignment horizontal="left" vertical="center"/>
      <protection hidden="1"/>
    </xf>
    <xf numFmtId="169" fontId="4" fillId="0" borderId="0" xfId="0" applyNumberFormat="1" applyFont="1" applyBorder="1" applyAlignment="1" applyProtection="1">
      <alignment horizontal="left" vertical="center"/>
    </xf>
    <xf numFmtId="0" fontId="40" fillId="0" borderId="0" xfId="0" applyFont="1" applyBorder="1" applyProtection="1">
      <protection hidden="1"/>
    </xf>
    <xf numFmtId="0" fontId="40" fillId="0" borderId="0" xfId="0" applyFont="1" applyFill="1" applyBorder="1" applyProtection="1">
      <protection hidden="1"/>
    </xf>
    <xf numFmtId="0" fontId="20" fillId="0" borderId="0" xfId="0" applyFont="1" applyBorder="1" applyAlignment="1" applyProtection="1">
      <alignment horizontal="left" vertical="center"/>
    </xf>
    <xf numFmtId="0" fontId="20" fillId="0" borderId="18" xfId="0" applyFont="1" applyBorder="1" applyAlignment="1" applyProtection="1">
      <alignment horizontal="left" vertical="center"/>
    </xf>
    <xf numFmtId="1" fontId="4" fillId="0" borderId="0" xfId="0" applyNumberFormat="1" applyFont="1" applyBorder="1" applyAlignment="1" applyProtection="1">
      <alignment horizontal="center" vertical="center"/>
    </xf>
    <xf numFmtId="0" fontId="43" fillId="0" borderId="0" xfId="0" applyFont="1" applyBorder="1" applyProtection="1">
      <protection hidden="1"/>
    </xf>
    <xf numFmtId="170" fontId="4" fillId="0" borderId="0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/>
      <protection hidden="1"/>
    </xf>
    <xf numFmtId="0" fontId="10" fillId="0" borderId="16" xfId="0" applyFont="1" applyBorder="1" applyAlignment="1" applyProtection="1">
      <alignment horizontal="center" vertical="center"/>
    </xf>
    <xf numFmtId="0" fontId="20" fillId="0" borderId="16" xfId="0" applyFont="1" applyBorder="1" applyAlignment="1" applyProtection="1">
      <alignment horizontal="left" vertical="center"/>
    </xf>
    <xf numFmtId="0" fontId="20" fillId="0" borderId="15" xfId="0" applyFont="1" applyBorder="1" applyAlignment="1" applyProtection="1">
      <alignment horizontal="left" vertical="center"/>
    </xf>
    <xf numFmtId="0" fontId="0" fillId="2" borderId="0" xfId="0" applyFill="1" applyAlignment="1">
      <alignment horizontal="left" vertical="top"/>
    </xf>
    <xf numFmtId="0" fontId="0" fillId="2" borderId="0" xfId="0" applyFill="1"/>
    <xf numFmtId="0" fontId="5" fillId="0" borderId="0" xfId="0" applyFont="1"/>
    <xf numFmtId="0" fontId="0" fillId="2" borderId="0" xfId="0" applyFill="1" applyProtection="1">
      <protection locked="0"/>
    </xf>
    <xf numFmtId="0" fontId="0" fillId="0" borderId="27" xfId="0" applyBorder="1"/>
    <xf numFmtId="0" fontId="3" fillId="0" borderId="0" xfId="0" applyFont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hidden="1"/>
    </xf>
    <xf numFmtId="0" fontId="11" fillId="0" borderId="11" xfId="0" applyFont="1" applyBorder="1" applyAlignment="1" applyProtection="1">
      <alignment horizontal="left" vertical="center"/>
      <protection hidden="1"/>
    </xf>
    <xf numFmtId="0" fontId="20" fillId="0" borderId="0" xfId="0" applyFont="1" applyBorder="1" applyAlignment="1" applyProtection="1">
      <alignment horizontal="left" vertical="center"/>
    </xf>
    <xf numFmtId="0" fontId="20" fillId="0" borderId="18" xfId="0" applyFont="1" applyBorder="1" applyAlignment="1" applyProtection="1">
      <alignment horizontal="left" vertical="center"/>
    </xf>
    <xf numFmtId="0" fontId="42" fillId="0" borderId="0" xfId="0" applyFont="1" applyFill="1" applyBorder="1" applyAlignment="1" applyProtection="1">
      <alignment horizontal="left" vertical="center"/>
    </xf>
    <xf numFmtId="0" fontId="42" fillId="0" borderId="18" xfId="0" applyFont="1" applyFill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center"/>
      <protection hidden="1"/>
    </xf>
    <xf numFmtId="0" fontId="0" fillId="0" borderId="17" xfId="0" applyFill="1" applyBorder="1" applyAlignment="1" applyProtection="1">
      <alignment horizontal="left" vertical="top" wrapText="1"/>
    </xf>
    <xf numFmtId="0" fontId="0" fillId="0" borderId="13" xfId="0" applyFill="1" applyBorder="1" applyAlignment="1" applyProtection="1">
      <alignment horizontal="left" vertical="top" wrapText="1"/>
    </xf>
    <xf numFmtId="0" fontId="0" fillId="0" borderId="0" xfId="0" applyFill="1" applyBorder="1" applyAlignment="1" applyProtection="1">
      <alignment horizontal="left" vertical="top" wrapText="1"/>
    </xf>
    <xf numFmtId="0" fontId="0" fillId="0" borderId="18" xfId="0" applyFill="1" applyBorder="1" applyAlignment="1" applyProtection="1">
      <alignment horizontal="left" vertical="top" wrapText="1"/>
    </xf>
    <xf numFmtId="0" fontId="0" fillId="0" borderId="16" xfId="0" applyFill="1" applyBorder="1" applyAlignment="1" applyProtection="1">
      <alignment horizontal="left" vertical="top" wrapText="1"/>
    </xf>
    <xf numFmtId="0" fontId="0" fillId="0" borderId="15" xfId="0" applyFill="1" applyBorder="1" applyAlignment="1" applyProtection="1">
      <alignment horizontal="left" vertical="top" wrapText="1"/>
    </xf>
    <xf numFmtId="167" fontId="14" fillId="0" borderId="0" xfId="0" applyNumberFormat="1" applyFont="1" applyBorder="1" applyAlignment="1" applyProtection="1">
      <alignment horizontal="left" vertical="center"/>
      <protection hidden="1"/>
    </xf>
    <xf numFmtId="167" fontId="14" fillId="0" borderId="18" xfId="0" applyNumberFormat="1" applyFont="1" applyBorder="1" applyAlignment="1" applyProtection="1">
      <alignment horizontal="left" vertical="center"/>
      <protection hidden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</cellXfs>
  <cellStyles count="2">
    <cellStyle name="Hyperlink" xfId="1" builtinId="8"/>
    <cellStyle name="Normal" xfId="0" builtinId="0"/>
  </cellStyles>
  <dxfs count="7">
    <dxf>
      <font>
        <color rgb="FFFF000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FF0000"/>
      </font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676276</xdr:colOff>
      <xdr:row>27</xdr:row>
      <xdr:rowOff>28575</xdr:rowOff>
    </xdr:from>
    <xdr:to>
      <xdr:col>2</xdr:col>
      <xdr:colOff>171451</xdr:colOff>
      <xdr:row>30</xdr:row>
      <xdr:rowOff>0</xdr:rowOff>
    </xdr:to>
    <xdr:sp macro="" textlink="">
      <xdr:nvSpPr>
        <xdr:cNvPr id="7" name="Left Brace 6"/>
        <xdr:cNvSpPr/>
      </xdr:nvSpPr>
      <xdr:spPr>
        <a:xfrm>
          <a:off x="990601" y="6419850"/>
          <a:ext cx="323850" cy="1028700"/>
        </a:xfrm>
        <a:prstGeom prst="leftBrace">
          <a:avLst/>
        </a:prstGeom>
        <a:ln>
          <a:solidFill>
            <a:schemeClr val="tx1">
              <a:alpha val="91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1" anchor="ctr"/>
        <a:lstStyle/>
        <a:p>
          <a:pPr algn="ctr"/>
          <a:endParaRPr lang="ar-SA" sz="1100"/>
        </a:p>
      </xdr:txBody>
    </xdr:sp>
    <xdr:clientData/>
  </xdr:twoCellAnchor>
  <xdr:twoCellAnchor editAs="oneCell">
    <xdr:from>
      <xdr:col>4</xdr:col>
      <xdr:colOff>571500</xdr:colOff>
      <xdr:row>11</xdr:row>
      <xdr:rowOff>28574</xdr:rowOff>
    </xdr:from>
    <xdr:to>
      <xdr:col>9</xdr:col>
      <xdr:colOff>833240</xdr:colOff>
      <xdr:row>23</xdr:row>
      <xdr:rowOff>51220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2457449"/>
          <a:ext cx="3795515" cy="2994446"/>
        </a:xfrm>
        <a:prstGeom prst="rect">
          <a:avLst/>
        </a:prstGeom>
      </xdr:spPr>
    </xdr:pic>
    <xdr:clientData/>
  </xdr:twoCellAnchor>
  <xdr:oneCellAnchor>
    <xdr:from>
      <xdr:col>1</xdr:col>
      <xdr:colOff>594213</xdr:colOff>
      <xdr:row>32</xdr:row>
      <xdr:rowOff>733</xdr:rowOff>
    </xdr:from>
    <xdr:ext cx="1033095" cy="3844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908538" y="7944583"/>
              <a:ext cx="1033095" cy="3844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sSub>
                          <m:sSubPr>
                            <m:ctrlPr>
                              <a:rPr lang="en-US" sz="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US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d>
                          <m:dPr>
                            <m:ctrlPr>
                              <a:rPr lang="en-US" sz="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type m:val="skw"/>
                                <m:ctrlPr>
                                  <a:rPr lang="en-US" sz="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num>
                              <m:den>
                                <m:r>
                                  <a:rPr lang="en-US" sz="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den>
                            </m:f>
                          </m:e>
                        </m:d>
                        <m:rad>
                          <m:radPr>
                            <m:degHide m:val="on"/>
                            <m:ctrlPr>
                              <a:rPr lang="en-US" sz="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type m:val="skw"/>
                                <m:ctrlPr>
                                  <a:rPr lang="en-US" sz="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8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</m:t>
                                    </m:r>
                                  </m:e>
                                  <m:sub>
                                    <m:r>
                                      <a:rPr lang="en-US" sz="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8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</m:t>
                                    </m:r>
                                  </m:e>
                                  <m:sub>
                                    <m:r>
                                      <a:rPr lang="en-US" sz="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</m:den>
                    </m:f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08538" y="7944583"/>
              <a:ext cx="1033095" cy="3844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𝑓_1 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=1/(1+(2⁄3)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√(𝑏_1⁄𝑏_2 )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1</xdr:col>
      <xdr:colOff>794239</xdr:colOff>
      <xdr:row>33</xdr:row>
      <xdr:rowOff>49090</xdr:rowOff>
    </xdr:from>
    <xdr:ext cx="813288" cy="205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1108564" y="8345365"/>
              <a:ext cx="813288" cy="20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sSub>
                          <m:sSubPr>
                            <m:ctrlPr>
                              <a:rPr lang="en-US" sz="10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=(1− </m:t>
                    </m:r>
                    <m:sSub>
                      <m:sSubPr>
                        <m:ctrlPr>
                          <a:rPr lang="en-US" sz="1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sSub>
                          <m:sSubPr>
                            <m:ctrlPr>
                              <a:rPr lang="en-US" sz="10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108564" y="8345365"/>
              <a:ext cx="813288" cy="20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𝑣_1 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=(1− </a:t>
              </a:r>
              <a:r>
                <a:rPr lang="en-US" sz="1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𝑓_1))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4</xdr:col>
      <xdr:colOff>345830</xdr:colOff>
      <xdr:row>32</xdr:row>
      <xdr:rowOff>25646</xdr:rowOff>
    </xdr:from>
    <xdr:ext cx="1033095" cy="3844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2965205" y="7969496"/>
              <a:ext cx="1033095" cy="3844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sSub>
                          <m:sSubPr>
                            <m:ctrlPr>
                              <a:rPr lang="en-US" sz="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US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d>
                          <m:dPr>
                            <m:ctrlPr>
                              <a:rPr lang="en-US" sz="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type m:val="skw"/>
                                <m:ctrlPr>
                                  <a:rPr lang="en-US" sz="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num>
                              <m:den>
                                <m:r>
                                  <a:rPr lang="en-US" sz="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den>
                            </m:f>
                          </m:e>
                        </m:d>
                        <m:rad>
                          <m:radPr>
                            <m:degHide m:val="on"/>
                            <m:ctrlPr>
                              <a:rPr lang="en-US" sz="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type m:val="skw"/>
                                <m:ctrlPr>
                                  <a:rPr lang="en-US" sz="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8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</m:t>
                                    </m:r>
                                  </m:e>
                                  <m:sub>
                                    <m:r>
                                      <a:rPr lang="en-US" sz="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8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</m:t>
                                    </m:r>
                                  </m:e>
                                  <m:sub>
                                    <m:r>
                                      <a:rPr lang="en-US" sz="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</m:den>
                    </m:f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2965205" y="7969496"/>
              <a:ext cx="1033095" cy="3844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𝑓_2 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=1/(1+(2⁄3)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√(𝑏_2⁄𝑏_1 )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4</xdr:col>
      <xdr:colOff>511419</xdr:colOff>
      <xdr:row>33</xdr:row>
      <xdr:rowOff>77666</xdr:rowOff>
    </xdr:from>
    <xdr:ext cx="813288" cy="205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3130794" y="8373941"/>
              <a:ext cx="813288" cy="20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sSub>
                          <m:sSubPr>
                            <m:ctrlPr>
                              <a:rPr lang="en-US" sz="10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=(1− </m:t>
                    </m:r>
                    <m:sSub>
                      <m:sSubPr>
                        <m:ctrlPr>
                          <a:rPr lang="en-US" sz="1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sSub>
                          <m:sSubPr>
                            <m:ctrlPr>
                              <a:rPr lang="en-US" sz="10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3130794" y="8373941"/>
              <a:ext cx="813288" cy="20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𝑣_2 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=(1− </a:t>
              </a:r>
              <a:r>
                <a:rPr lang="en-US" sz="1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𝑓_2))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2</xdr:col>
      <xdr:colOff>466726</xdr:colOff>
      <xdr:row>34</xdr:row>
      <xdr:rowOff>9525</xdr:rowOff>
    </xdr:from>
    <xdr:ext cx="247650" cy="2509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609726" y="8610600"/>
              <a:ext cx="247650" cy="2509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</m:t>
                        </m:r>
                      </m:num>
                      <m:den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609726" y="8610600"/>
              <a:ext cx="247650" cy="2509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𝐽⁄𝑐_1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238125</xdr:colOff>
      <xdr:row>34</xdr:row>
      <xdr:rowOff>9525</xdr:rowOff>
    </xdr:from>
    <xdr:ext cx="247650" cy="2509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3562350" y="8610600"/>
              <a:ext cx="247650" cy="2509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</m:t>
                        </m:r>
                      </m:num>
                      <m:den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3562350" y="8610600"/>
              <a:ext cx="247650" cy="2509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𝐽⁄𝑐_2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26</xdr:row>
      <xdr:rowOff>204788</xdr:rowOff>
    </xdr:from>
    <xdr:ext cx="1209674" cy="376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390650" y="6348413"/>
              <a:ext cx="1209674" cy="376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0.17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den>
                        </m:f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𝜆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390650" y="6348413"/>
              <a:ext cx="1209674" cy="376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0.17(1+2/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𝑓′〗_𝑐 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142875</xdr:colOff>
      <xdr:row>28</xdr:row>
      <xdr:rowOff>38100</xdr:rowOff>
    </xdr:from>
    <xdr:ext cx="1323976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1285875" y="6781800"/>
              <a:ext cx="1323976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0.083 </m:t>
                  </m:r>
                </m:oMath>
              </a14:m>
              <a:r>
                <a:rPr lang="en-US" sz="1100" b="0" i="0">
                  <a:latin typeface="+mj-lt"/>
                </a:rPr>
                <a:t>(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𝛼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num>
                    <m:den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𝑜</m:t>
                          </m:r>
                        </m:sub>
                      </m:sSub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+2</m:t>
                  </m:r>
                </m:oMath>
              </a14:m>
              <a:r>
                <a:rPr lang="en-US" sz="1100" b="0" i="0">
                  <a:latin typeface="+mj-lt"/>
                  <a:ea typeface="Cambria Math" panose="02040503050406030204" pitchFamily="18" charset="0"/>
                </a:rPr>
                <a:t>)</a:t>
              </a:r>
              <a14:m>
                <m:oMath xmlns:m="http://schemas.openxmlformats.org/officeDocument/2006/math">
                  <m: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′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</m:t>
                          </m:r>
                        </m:sub>
                      </m:sSub>
                    </m:e>
                  </m:rad>
                </m:oMath>
              </a14:m>
              <a:endParaRPr lang="en-US">
                <a:effectLst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1285875" y="6781800"/>
              <a:ext cx="1323976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0.083 </a:t>
              </a:r>
              <a:r>
                <a:rPr lang="en-US" sz="1100" b="0" i="0">
                  <a:latin typeface="+mj-lt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𝛼_𝑠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𝑑)/𝑏_𝑜 +2</a:t>
              </a:r>
              <a:r>
                <a:rPr lang="en-US" sz="1100" b="0" i="0">
                  <a:latin typeface="+mj-lt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𝑓′〗_𝑐 )</a:t>
              </a:r>
              <a:endParaRPr lang="en-US">
                <a:effectLst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771525</xdr:colOff>
      <xdr:row>29</xdr:row>
      <xdr:rowOff>9525</xdr:rowOff>
    </xdr:from>
    <xdr:ext cx="638176" cy="295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1914525" y="7105650"/>
              <a:ext cx="638176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0.33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𝜆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US">
                <a:effectLst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1914525" y="7105650"/>
              <a:ext cx="638176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0.33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𝑓′〗_𝑐 )</a:t>
              </a:r>
              <a:endParaRPr lang="en-US">
                <a:effectLst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twoCellAnchor editAs="oneCell">
    <xdr:from>
      <xdr:col>0</xdr:col>
      <xdr:colOff>190500</xdr:colOff>
      <xdr:row>68</xdr:row>
      <xdr:rowOff>140995</xdr:rowOff>
    </xdr:from>
    <xdr:to>
      <xdr:col>9</xdr:col>
      <xdr:colOff>371475</xdr:colOff>
      <xdr:row>77</xdr:row>
      <xdr:rowOff>1057275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17114545"/>
          <a:ext cx="6334125" cy="3145130"/>
        </a:xfrm>
        <a:prstGeom prst="rect">
          <a:avLst/>
        </a:prstGeom>
      </xdr:spPr>
    </xdr:pic>
    <xdr:clientData/>
  </xdr:twoCellAnchor>
  <xdr:oneCellAnchor>
    <xdr:from>
      <xdr:col>1</xdr:col>
      <xdr:colOff>457200</xdr:colOff>
      <xdr:row>30</xdr:row>
      <xdr:rowOff>19050</xdr:rowOff>
    </xdr:from>
    <xdr:ext cx="285750" cy="180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771525" y="7467600"/>
              <a:ext cx="28575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ϕ</m:t>
                    </m:r>
                    <m:sSub>
                      <m:sSubPr>
                        <m:ctrl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771525" y="7467600"/>
              <a:ext cx="28575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𝑐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295274</xdr:colOff>
      <xdr:row>26</xdr:row>
      <xdr:rowOff>19050</xdr:rowOff>
    </xdr:from>
    <xdr:ext cx="42862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609599" y="6162675"/>
              <a:ext cx="4286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ϕ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𝑠h𝑒𝑎𝑟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609599" y="6162675"/>
              <a:ext cx="42862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ϕ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𝑠ℎ𝑒𝑎𝑟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152400</xdr:colOff>
      <xdr:row>36</xdr:row>
      <xdr:rowOff>38100</xdr:rowOff>
    </xdr:from>
    <xdr:ext cx="1266825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1295400" y="9153525"/>
              <a:ext cx="1266825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ϕ</m:t>
                  </m:r>
                  <m:sSub>
                    <m:sSubPr>
                      <m:ctrl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𝑣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0.5</m:t>
                  </m:r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ϕ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′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</m:t>
                          </m:r>
                        </m:sub>
                      </m:sSub>
                    </m:e>
                  </m:rad>
                </m:oMath>
              </a14:m>
              <a:endParaRPr lang="en-US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1295400" y="9153525"/>
              <a:ext cx="1266825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 𝑚𝑎𝑥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/>
                <a:t> 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𝑓′〗_𝑐 )</a:t>
              </a:r>
              <a:endParaRPr lang="en-US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561975</xdr:colOff>
      <xdr:row>37</xdr:row>
      <xdr:rowOff>85725</xdr:rowOff>
    </xdr:from>
    <xdr:ext cx="1743075" cy="3714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876300" y="9448800"/>
              <a:ext cx="1743075" cy="371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l-GR" sz="13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3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𝑣</m:t>
                      </m:r>
                    </m:e>
                    <m:sub>
                      <m:r>
                        <a:rPr lang="en-US" sz="13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𝑢</m:t>
                      </m:r>
                    </m:sub>
                  </m:sSub>
                </m:oMath>
              </a14:m>
              <a:r>
                <a:rPr lang="en-US" sz="13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3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l-GR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b>
                          <m:r>
                            <a:rPr lang="en-US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𝑏</m:t>
                          </m:r>
                        </m:e>
                        <m:sub>
                          <m:r>
                            <a:rPr lang="en-US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𝑜</m:t>
                          </m:r>
                        </m:sub>
                      </m:sSub>
                      <m:r>
                        <a:rPr lang="en-US" sz="1300" b="0" i="1">
                          <a:latin typeface="Cambria Math" panose="02040503050406030204" pitchFamily="18" charset="0"/>
                        </a:rPr>
                        <m:t>𝑑</m:t>
                      </m:r>
                    </m:den>
                  </m:f>
                </m:oMath>
              </a14:m>
              <a:r>
                <a:rPr lang="en-US" sz="1300">
                  <a:effectLst/>
                </a:rPr>
                <a:t> +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3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l-GR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sSub>
                            <m:sSubPr>
                              <m:ctrlPr>
                                <a:rPr lang="en-US" sz="13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3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𝛾</m:t>
                              </m:r>
                            </m:e>
                            <m:sub>
                              <m:sSub>
                                <m:sSubPr>
                                  <m:ctrlPr>
                                    <a:rPr lang="en-US" sz="13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3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𝑣</m:t>
                                  </m:r>
                                </m:e>
                                <m:sub>
                                  <m:r>
                                    <a:rPr lang="en-US" sz="13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sub>
                          </m:sSub>
                          <m:r>
                            <a:rPr lang="en-US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</m:t>
                          </m:r>
                        </m:e>
                        <m:sub>
                          <m:r>
                            <a:rPr lang="en-US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en-US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</m:num>
                    <m:den>
                      <m:f>
                        <m:fPr>
                          <m:type m:val="skw"/>
                          <m:ctrlPr>
                            <a:rPr lang="en-US" sz="13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𝐽</m:t>
                          </m:r>
                        </m:num>
                        <m:den>
                          <m:sSub>
                            <m:sSubPr>
                              <m:ctrlPr>
                                <a:rPr lang="en-US" sz="13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3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e>
                            <m:sub>
                              <m:r>
                                <a:rPr lang="en-US" sz="13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den>
                      </m:f>
                    </m:den>
                  </m:f>
                </m:oMath>
              </a14:m>
              <a:r>
                <a:rPr lang="en-US" sz="1300">
                  <a:effectLst/>
                </a:rPr>
                <a:t> </a:t>
              </a:r>
              <a:r>
                <a:rPr lang="en-US" sz="13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3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l-GR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sSub>
                            <m:sSubPr>
                              <m:ctrlPr>
                                <a:rPr lang="en-US" sz="13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3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𝛾</m:t>
                              </m:r>
                            </m:e>
                            <m:sub>
                              <m:sSub>
                                <m:sSubPr>
                                  <m:ctrlPr>
                                    <a:rPr lang="en-US" sz="13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3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𝑣</m:t>
                                  </m:r>
                                </m:e>
                                <m:sub>
                                  <m:r>
                                    <a:rPr lang="en-US" sz="13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b>
                              </m:sSub>
                            </m:sub>
                          </m:sSub>
                          <m:r>
                            <a:rPr lang="en-US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</m:t>
                          </m:r>
                        </m:e>
                        <m:sub>
                          <m:r>
                            <a:rPr lang="en-US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en-US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num>
                    <m:den>
                      <m:f>
                        <m:fPr>
                          <m:type m:val="skw"/>
                          <m:ctrlPr>
                            <a:rPr lang="en-US" sz="13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3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𝐽</m:t>
                          </m:r>
                        </m:num>
                        <m:den>
                          <m:sSub>
                            <m:sSubPr>
                              <m:ctrlPr>
                                <a:rPr lang="en-US" sz="13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3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e>
                            <m:sub>
                              <m:r>
                                <a:rPr lang="en-US" sz="13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</m:den>
                      </m:f>
                    </m:den>
                  </m:f>
                </m:oMath>
              </a14:m>
              <a:endParaRPr lang="en-US" sz="1300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876300" y="9448800"/>
              <a:ext cx="1743075" cy="371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</a:t>
              </a:r>
              <a:r>
                <a:rPr lang="el-GR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</a:t>
              </a:r>
              <a:r>
                <a:rPr lang="en-US" sz="1300"/>
                <a:t> = </a:t>
              </a:r>
              <a:r>
                <a:rPr lang="en-U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l-GR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en-U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𝑏_𝑜</a:t>
              </a:r>
              <a:r>
                <a:rPr lang="en-U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300" b="0" i="0">
                  <a:latin typeface="Cambria Math" panose="02040503050406030204" pitchFamily="18" charset="0"/>
                </a:rPr>
                <a:t>𝑑)</a:t>
              </a:r>
              <a:r>
                <a:rPr lang="en-US" sz="1300">
                  <a:effectLst/>
                </a:rPr>
                <a:t> + </a:t>
              </a:r>
              <a:r>
                <a:rPr lang="el-GR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3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en-US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𝑣_1 )</a:t>
              </a:r>
              <a:r>
                <a:rPr lang="en-U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𝑀</a:t>
              </a:r>
              <a:r>
                <a:rPr lang="el-GR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en-U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/(𝐽⁄𝑐_1 )</a:t>
              </a:r>
              <a:r>
                <a:rPr lang="en-US" sz="1300">
                  <a:effectLst/>
                </a:rPr>
                <a:t> </a:t>
              </a:r>
              <a:r>
                <a:rPr lang="en-US" sz="13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:r>
                <a:rPr lang="el-GR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3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en-US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𝑣_</a:t>
              </a:r>
              <a:r>
                <a:rPr lang="en-U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 𝑀</a:t>
              </a:r>
              <a:r>
                <a:rPr lang="el-GR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en-U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/(𝐽⁄𝑐_</a:t>
              </a:r>
              <a:r>
                <a:rPr lang="en-US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3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en-US" sz="1300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295275</xdr:colOff>
      <xdr:row>42</xdr:row>
      <xdr:rowOff>9525</xdr:rowOff>
    </xdr:from>
    <xdr:ext cx="1190625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3619500" y="10229850"/>
              <a:ext cx="1190625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𝑣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𝑠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0.66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′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</m:t>
                          </m:r>
                        </m:sub>
                      </m:sSub>
                    </m:e>
                  </m:rad>
                </m:oMath>
              </a14:m>
              <a:endParaRPr lang="en-US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3619500" y="10229850"/>
              <a:ext cx="1190625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 𝑚𝑎𝑥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/>
                <a:t> 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0.66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𝑓′〗_𝑐 )</a:t>
              </a:r>
              <a:endParaRPr lang="en-US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49</xdr:row>
      <xdr:rowOff>38100</xdr:rowOff>
    </xdr:from>
    <xdr:to>
      <xdr:col>9</xdr:col>
      <xdr:colOff>532605</xdr:colOff>
      <xdr:row>68</xdr:row>
      <xdr:rowOff>142234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11991975"/>
          <a:ext cx="6361905" cy="51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219075</xdr:colOff>
      <xdr:row>27</xdr:row>
      <xdr:rowOff>47625</xdr:rowOff>
    </xdr:from>
    <xdr:to>
      <xdr:col>25</xdr:col>
      <xdr:colOff>523875</xdr:colOff>
      <xdr:row>42</xdr:row>
      <xdr:rowOff>98761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5191125"/>
          <a:ext cx="10058400" cy="290863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0</xdr:row>
      <xdr:rowOff>114300</xdr:rowOff>
    </xdr:from>
    <xdr:to>
      <xdr:col>25</xdr:col>
      <xdr:colOff>590550</xdr:colOff>
      <xdr:row>20</xdr:row>
      <xdr:rowOff>81076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14300"/>
          <a:ext cx="10058400" cy="377677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45</xdr:row>
      <xdr:rowOff>0</xdr:rowOff>
    </xdr:from>
    <xdr:to>
      <xdr:col>26</xdr:col>
      <xdr:colOff>304800</xdr:colOff>
      <xdr:row>74</xdr:row>
      <xdr:rowOff>130588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8572500"/>
          <a:ext cx="10058400" cy="5655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ohamedabushady.blogspot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6"/>
  <sheetViews>
    <sheetView view="pageBreakPreview" topLeftCell="A32" zoomScaleNormal="100" zoomScaleSheetLayoutView="100" workbookViewId="0">
      <selection activeCell="C82" sqref="C82"/>
    </sheetView>
  </sheetViews>
  <sheetFormatPr defaultColWidth="9" defaultRowHeight="15" x14ac:dyDescent="0.25"/>
  <cols>
    <col min="1" max="1" width="4.7109375" style="5" customWidth="1"/>
    <col min="2" max="2" width="12.42578125" style="5" customWidth="1"/>
    <col min="3" max="3" width="12.28515625" style="5" customWidth="1"/>
    <col min="4" max="4" width="9.85546875" style="5" customWidth="1"/>
    <col min="5" max="5" width="10.5703125" style="5" customWidth="1"/>
    <col min="6" max="6" width="9.85546875" style="5" customWidth="1"/>
    <col min="7" max="7" width="11.5703125" style="5" customWidth="1"/>
    <col min="8" max="8" width="9.5703125" style="5" customWidth="1"/>
    <col min="9" max="9" width="11.42578125" style="5" customWidth="1"/>
    <col min="10" max="10" width="12.85546875" style="5" customWidth="1"/>
    <col min="11" max="11" width="9" style="5"/>
    <col min="12" max="12" width="20.85546875" style="5" customWidth="1"/>
    <col min="13" max="16384" width="9" style="5"/>
  </cols>
  <sheetData>
    <row r="1" spans="1:16" ht="16.5" thickBot="1" x14ac:dyDescent="0.3">
      <c r="A1" s="105" t="s">
        <v>41</v>
      </c>
      <c r="B1" s="106"/>
      <c r="C1" s="106"/>
      <c r="D1" s="106"/>
      <c r="E1" s="106"/>
      <c r="F1" s="106"/>
      <c r="G1" s="106"/>
      <c r="H1" s="78"/>
      <c r="I1" s="78"/>
      <c r="J1" s="79" t="s">
        <v>111</v>
      </c>
      <c r="K1" s="112" t="s">
        <v>85</v>
      </c>
      <c r="L1" s="112"/>
      <c r="M1" s="112"/>
      <c r="N1" s="113"/>
    </row>
    <row r="2" spans="1:16" x14ac:dyDescent="0.25">
      <c r="A2" s="6"/>
      <c r="B2" s="3"/>
      <c r="C2" s="3" t="s">
        <v>19</v>
      </c>
      <c r="D2" s="1" t="s">
        <v>71</v>
      </c>
      <c r="E2" s="17"/>
      <c r="F2" s="17"/>
      <c r="G2" s="3" t="s">
        <v>22</v>
      </c>
      <c r="H2" s="1" t="s">
        <v>23</v>
      </c>
      <c r="I2" s="1"/>
      <c r="J2" s="18"/>
      <c r="K2" s="114"/>
      <c r="L2" s="114"/>
      <c r="M2" s="114"/>
      <c r="N2" s="115"/>
    </row>
    <row r="3" spans="1:16" ht="15.75" x14ac:dyDescent="0.25">
      <c r="A3" s="2"/>
      <c r="B3" s="3"/>
      <c r="C3" s="3" t="s">
        <v>20</v>
      </c>
      <c r="D3" s="1" t="s">
        <v>72</v>
      </c>
      <c r="E3" s="17"/>
      <c r="F3" s="17"/>
      <c r="G3" s="3" t="s">
        <v>26</v>
      </c>
      <c r="H3" s="1" t="s">
        <v>23</v>
      </c>
      <c r="I3" s="1"/>
      <c r="J3" s="18"/>
      <c r="K3" s="114"/>
      <c r="L3" s="114"/>
      <c r="M3" s="114"/>
      <c r="N3" s="115"/>
    </row>
    <row r="4" spans="1:16" ht="15.75" x14ac:dyDescent="0.25">
      <c r="A4" s="2"/>
      <c r="B4" s="3"/>
      <c r="C4" s="3" t="s">
        <v>21</v>
      </c>
      <c r="D4" s="1" t="s">
        <v>73</v>
      </c>
      <c r="E4" s="17"/>
      <c r="F4" s="17"/>
      <c r="G4" s="3" t="s">
        <v>27</v>
      </c>
      <c r="H4" s="118">
        <f ca="1">TODAY()</f>
        <v>44551</v>
      </c>
      <c r="I4" s="118"/>
      <c r="J4" s="119"/>
      <c r="K4" s="114"/>
      <c r="L4" s="114"/>
      <c r="M4" s="114"/>
      <c r="N4" s="115"/>
    </row>
    <row r="5" spans="1:16" x14ac:dyDescent="0.25">
      <c r="A5" s="6"/>
      <c r="B5" s="3"/>
      <c r="C5" s="33" t="s">
        <v>25</v>
      </c>
      <c r="D5" s="1" t="s">
        <v>74</v>
      </c>
      <c r="E5" s="17"/>
      <c r="F5" s="17"/>
      <c r="G5" s="17"/>
      <c r="H5" s="17"/>
      <c r="I5" s="17"/>
      <c r="J5" s="18"/>
      <c r="K5" s="114"/>
      <c r="L5" s="114"/>
      <c r="M5" s="114"/>
      <c r="N5" s="115"/>
    </row>
    <row r="6" spans="1:16" ht="15.75" thickBot="1" x14ac:dyDescent="0.3">
      <c r="A6" s="6"/>
      <c r="B6" s="3"/>
      <c r="C6" s="102" t="s">
        <v>132</v>
      </c>
      <c r="D6" s="102"/>
      <c r="E6" s="102"/>
      <c r="F6" s="102"/>
      <c r="G6" s="102"/>
      <c r="H6" s="17"/>
      <c r="I6" s="17"/>
      <c r="J6" s="18"/>
      <c r="K6" s="116"/>
      <c r="L6" s="116"/>
      <c r="M6" s="116"/>
      <c r="N6" s="117"/>
    </row>
    <row r="7" spans="1:16" ht="19.5" customHeight="1" x14ac:dyDescent="0.25">
      <c r="A7" s="30" t="s">
        <v>24</v>
      </c>
      <c r="B7" s="15"/>
      <c r="C7" s="31"/>
      <c r="D7" s="15"/>
      <c r="E7" s="15"/>
      <c r="F7" s="15"/>
      <c r="G7" s="31"/>
      <c r="H7" s="15"/>
      <c r="I7" s="15"/>
      <c r="J7" s="16"/>
      <c r="K7" s="64" t="s">
        <v>86</v>
      </c>
      <c r="L7" s="65"/>
      <c r="M7" s="65"/>
      <c r="N7" s="65"/>
      <c r="O7" s="54"/>
      <c r="P7" s="54"/>
    </row>
    <row r="8" spans="1:16" ht="19.5" customHeight="1" x14ac:dyDescent="0.25">
      <c r="A8" s="6"/>
      <c r="B8" s="10" t="s">
        <v>45</v>
      </c>
      <c r="C8" s="3"/>
      <c r="D8" s="3"/>
      <c r="E8" s="3"/>
      <c r="F8" s="3"/>
      <c r="G8" s="3"/>
      <c r="H8" s="3"/>
      <c r="I8" s="3"/>
      <c r="J8" s="4"/>
      <c r="O8" s="54"/>
      <c r="P8" s="54"/>
    </row>
    <row r="9" spans="1:16" ht="19.5" customHeight="1" x14ac:dyDescent="0.25">
      <c r="A9" s="6"/>
      <c r="B9" s="3" t="s">
        <v>46</v>
      </c>
      <c r="C9" s="19">
        <v>260</v>
      </c>
      <c r="D9" s="88" t="s">
        <v>0</v>
      </c>
      <c r="E9" s="3" t="s">
        <v>3</v>
      </c>
      <c r="F9" s="20">
        <v>420</v>
      </c>
      <c r="G9" s="88" t="s">
        <v>101</v>
      </c>
      <c r="H9" s="3"/>
      <c r="I9" s="3"/>
      <c r="J9" s="4"/>
      <c r="O9" s="55"/>
      <c r="P9" s="54"/>
    </row>
    <row r="10" spans="1:16" ht="19.5" customHeight="1" x14ac:dyDescent="0.25">
      <c r="A10" s="6"/>
      <c r="B10" s="3" t="s">
        <v>1</v>
      </c>
      <c r="C10" s="19">
        <v>25</v>
      </c>
      <c r="D10" s="88" t="s">
        <v>0</v>
      </c>
      <c r="E10" s="3" t="s">
        <v>7</v>
      </c>
      <c r="F10" s="20">
        <v>30</v>
      </c>
      <c r="G10" s="88" t="s">
        <v>101</v>
      </c>
      <c r="H10" s="3"/>
      <c r="I10" s="3"/>
      <c r="J10" s="4"/>
      <c r="O10" s="55"/>
      <c r="P10" s="54"/>
    </row>
    <row r="11" spans="1:16" ht="19.5" customHeight="1" x14ac:dyDescent="0.35">
      <c r="A11" s="6"/>
      <c r="B11" s="3" t="s">
        <v>2</v>
      </c>
      <c r="C11" s="59">
        <f>t-Cover-10</f>
        <v>225</v>
      </c>
      <c r="D11" s="88" t="s">
        <v>0</v>
      </c>
      <c r="E11" s="3" t="s">
        <v>14</v>
      </c>
      <c r="F11" s="20">
        <v>420</v>
      </c>
      <c r="G11" s="88" t="s">
        <v>6</v>
      </c>
      <c r="H11" s="3"/>
      <c r="I11" s="3"/>
      <c r="J11" s="4"/>
      <c r="O11" s="54"/>
      <c r="P11" s="54"/>
    </row>
    <row r="12" spans="1:16" ht="19.5" customHeight="1" x14ac:dyDescent="0.25">
      <c r="A12" s="6"/>
      <c r="B12" s="3" t="s">
        <v>44</v>
      </c>
      <c r="C12" s="14"/>
      <c r="D12" s="3"/>
      <c r="E12" s="3"/>
      <c r="F12" s="38"/>
      <c r="G12" s="3"/>
      <c r="H12" s="3"/>
      <c r="I12" s="3"/>
      <c r="J12" s="4"/>
    </row>
    <row r="13" spans="1:16" ht="19.5" customHeight="1" x14ac:dyDescent="0.25">
      <c r="A13" s="6"/>
      <c r="B13" s="10" t="s">
        <v>39</v>
      </c>
      <c r="C13" s="3"/>
      <c r="D13" s="3"/>
      <c r="E13" s="3"/>
      <c r="F13" s="12"/>
      <c r="G13" s="3"/>
      <c r="H13" s="3"/>
      <c r="I13" s="3"/>
      <c r="J13" s="4"/>
    </row>
    <row r="14" spans="1:16" ht="19.5" customHeight="1" x14ac:dyDescent="0.35">
      <c r="A14" s="6"/>
      <c r="B14" s="33" t="s">
        <v>80</v>
      </c>
      <c r="C14" s="19">
        <v>600</v>
      </c>
      <c r="D14" s="89" t="s">
        <v>0</v>
      </c>
      <c r="E14" s="3"/>
      <c r="F14" s="3"/>
      <c r="G14" s="3"/>
      <c r="H14" s="3"/>
      <c r="I14" s="3"/>
      <c r="J14" s="4"/>
    </row>
    <row r="15" spans="1:16" ht="19.5" customHeight="1" x14ac:dyDescent="0.35">
      <c r="A15" s="6"/>
      <c r="B15" s="33" t="s">
        <v>79</v>
      </c>
      <c r="C15" s="19">
        <v>400</v>
      </c>
      <c r="D15" s="89" t="s">
        <v>0</v>
      </c>
      <c r="E15" s="3"/>
      <c r="F15" s="3"/>
      <c r="G15" s="3"/>
      <c r="H15" s="3"/>
      <c r="I15" s="3"/>
      <c r="J15" s="4"/>
    </row>
    <row r="16" spans="1:16" ht="19.5" customHeight="1" thickBot="1" x14ac:dyDescent="0.3">
      <c r="A16" s="6"/>
      <c r="B16" s="3" t="s">
        <v>93</v>
      </c>
      <c r="C16" s="104" t="s">
        <v>87</v>
      </c>
      <c r="D16" s="104"/>
      <c r="E16" s="80" t="str">
        <f>VLOOKUP(C16,Table_col_location,2,FALSE)</f>
        <v>Case C</v>
      </c>
      <c r="F16" s="3"/>
      <c r="G16" s="3"/>
      <c r="H16" s="3"/>
      <c r="I16" s="3"/>
      <c r="J16" s="4"/>
      <c r="L16" s="53" t="s">
        <v>43</v>
      </c>
      <c r="M16" s="54"/>
      <c r="N16" s="54"/>
    </row>
    <row r="17" spans="1:17" ht="19.5" customHeight="1" thickBot="1" x14ac:dyDescent="0.4">
      <c r="A17" s="6"/>
      <c r="B17" s="32" t="s">
        <v>36</v>
      </c>
      <c r="C17" s="60">
        <f>MAX(C_1,C_2)/MIN(C_1,C_2)</f>
        <v>1.5</v>
      </c>
      <c r="D17" s="88" t="s">
        <v>37</v>
      </c>
      <c r="E17" s="34"/>
      <c r="F17" s="14"/>
      <c r="G17" s="3"/>
      <c r="H17" s="3"/>
      <c r="I17" s="3"/>
      <c r="J17" s="4"/>
      <c r="L17" s="74" t="s">
        <v>32</v>
      </c>
      <c r="M17" s="75" t="s">
        <v>10</v>
      </c>
      <c r="N17" s="76" t="s">
        <v>65</v>
      </c>
    </row>
    <row r="18" spans="1:17" ht="19.5" customHeight="1" x14ac:dyDescent="0.25">
      <c r="A18" s="6"/>
      <c r="B18" s="34" t="s">
        <v>42</v>
      </c>
      <c r="C18" s="59">
        <f>VLOOKUP(C16,Table_col_location,3,FALSE)</f>
        <v>30</v>
      </c>
      <c r="D18" s="88" t="s">
        <v>43</v>
      </c>
      <c r="E18" s="34"/>
      <c r="F18" s="14"/>
      <c r="G18" s="3"/>
      <c r="H18" s="3"/>
      <c r="I18" s="3"/>
      <c r="J18" s="4"/>
      <c r="L18" s="70" t="s">
        <v>88</v>
      </c>
      <c r="M18" s="71" t="s">
        <v>89</v>
      </c>
      <c r="N18" s="72">
        <v>30</v>
      </c>
    </row>
    <row r="19" spans="1:17" ht="19.5" customHeight="1" x14ac:dyDescent="0.25">
      <c r="A19" s="6"/>
      <c r="B19" s="10" t="s">
        <v>38</v>
      </c>
      <c r="C19" s="3"/>
      <c r="D19" s="3"/>
      <c r="E19" s="3"/>
      <c r="F19" s="3"/>
      <c r="G19" s="3"/>
      <c r="H19" s="3"/>
      <c r="I19" s="3"/>
      <c r="J19" s="4"/>
      <c r="L19" s="66" t="s">
        <v>30</v>
      </c>
      <c r="M19" s="73" t="s">
        <v>90</v>
      </c>
      <c r="N19" s="67">
        <v>40</v>
      </c>
    </row>
    <row r="20" spans="1:17" ht="19.5" customHeight="1" x14ac:dyDescent="0.35">
      <c r="A20" s="6"/>
      <c r="B20" s="3" t="s">
        <v>16</v>
      </c>
      <c r="C20" s="19">
        <v>600</v>
      </c>
      <c r="D20" s="88" t="s">
        <v>5</v>
      </c>
      <c r="E20" s="3"/>
      <c r="F20" s="3"/>
      <c r="G20" s="3"/>
      <c r="H20" s="3"/>
      <c r="I20" s="3"/>
      <c r="J20" s="4"/>
      <c r="L20" s="66" t="s">
        <v>87</v>
      </c>
      <c r="M20" s="73" t="s">
        <v>91</v>
      </c>
      <c r="N20" s="67">
        <v>30</v>
      </c>
    </row>
    <row r="21" spans="1:17" ht="19.5" customHeight="1" thickBot="1" x14ac:dyDescent="0.4">
      <c r="A21" s="6"/>
      <c r="B21" s="3" t="s">
        <v>40</v>
      </c>
      <c r="C21" s="19">
        <v>75</v>
      </c>
      <c r="D21" s="88" t="s">
        <v>4</v>
      </c>
      <c r="E21" s="3"/>
      <c r="F21" s="3"/>
      <c r="G21" s="3"/>
      <c r="H21" s="3"/>
      <c r="I21" s="3"/>
      <c r="J21" s="4"/>
      <c r="L21" s="68" t="s">
        <v>31</v>
      </c>
      <c r="M21" s="77" t="s">
        <v>92</v>
      </c>
      <c r="N21" s="69">
        <v>20</v>
      </c>
    </row>
    <row r="22" spans="1:17" ht="19.5" customHeight="1" x14ac:dyDescent="0.35">
      <c r="A22" s="6"/>
      <c r="B22" s="3" t="s">
        <v>48</v>
      </c>
      <c r="C22" s="19">
        <v>50</v>
      </c>
      <c r="D22" s="88" t="s">
        <v>4</v>
      </c>
      <c r="E22" s="3"/>
      <c r="F22" s="12"/>
      <c r="G22" s="3"/>
      <c r="H22" s="3"/>
      <c r="I22" s="3"/>
      <c r="J22" s="4"/>
    </row>
    <row r="23" spans="1:17" ht="19.5" customHeight="1" x14ac:dyDescent="0.25">
      <c r="A23" s="6"/>
      <c r="B23" s="3"/>
      <c r="C23" s="3"/>
      <c r="D23" s="3"/>
      <c r="E23" s="3"/>
      <c r="F23" s="12"/>
      <c r="G23" s="3"/>
      <c r="H23" s="3"/>
      <c r="I23" s="3"/>
      <c r="J23" s="4"/>
      <c r="L23" s="3"/>
      <c r="M23" s="37"/>
      <c r="N23" s="3"/>
      <c r="O23" s="13"/>
      <c r="P23" s="37"/>
      <c r="Q23" s="3"/>
    </row>
    <row r="24" spans="1:17" ht="19.5" customHeight="1" x14ac:dyDescent="0.25">
      <c r="A24" s="40" t="s">
        <v>50</v>
      </c>
      <c r="B24" s="3"/>
      <c r="C24" s="37"/>
      <c r="D24" s="3"/>
      <c r="E24" s="3"/>
      <c r="F24" s="12"/>
      <c r="G24" s="3"/>
      <c r="H24" s="3"/>
      <c r="I24" s="3"/>
      <c r="J24" s="4"/>
      <c r="O24" s="13"/>
      <c r="P24" s="37"/>
      <c r="Q24" s="3"/>
    </row>
    <row r="25" spans="1:17" ht="19.5" customHeight="1" x14ac:dyDescent="0.35">
      <c r="A25" s="6"/>
      <c r="B25" s="3" t="s">
        <v>34</v>
      </c>
      <c r="C25" s="59">
        <f>IF(OR(Case="case A",Case="case B"),C_1+d,IF(OR(Case="case C",Case="case D"),C_1+d/2,0))</f>
        <v>712.5</v>
      </c>
      <c r="D25" s="88" t="s">
        <v>49</v>
      </c>
      <c r="E25" s="3" t="s">
        <v>35</v>
      </c>
      <c r="F25" s="59">
        <f>IF(OR(Case="case B",Case="case C"),C_2+d,IF(OR(Case="case A",Case="case D"),C_2+d/2,0))</f>
        <v>625</v>
      </c>
      <c r="G25" s="3" t="s">
        <v>49</v>
      </c>
      <c r="H25" s="3" t="s">
        <v>97</v>
      </c>
      <c r="I25" s="19">
        <v>0</v>
      </c>
      <c r="J25" s="4" t="s">
        <v>49</v>
      </c>
      <c r="O25" s="37"/>
      <c r="P25" s="3"/>
    </row>
    <row r="26" spans="1:17" ht="19.5" customHeight="1" x14ac:dyDescent="0.35">
      <c r="A26" s="6"/>
      <c r="B26" s="3" t="s">
        <v>33</v>
      </c>
      <c r="C26" s="59">
        <f>IF(Case="case A",b_1+2*b_2,IF(Case="case B",2*(b_1+b_2),IF(Case="case C",2*b_1+b_2,IF(Case="case D",b_1+b_2,0))))-bo_substracted</f>
        <v>2050</v>
      </c>
      <c r="D26" s="88" t="s">
        <v>0</v>
      </c>
      <c r="E26" s="88" t="s">
        <v>54</v>
      </c>
      <c r="F26" s="3"/>
      <c r="G26" s="3"/>
      <c r="H26" s="3"/>
      <c r="I26" s="3"/>
      <c r="J26" s="4"/>
    </row>
    <row r="27" spans="1:17" ht="19.5" customHeight="1" x14ac:dyDescent="0.25">
      <c r="A27" s="6"/>
      <c r="B27" s="11"/>
      <c r="C27" s="20">
        <v>0.75</v>
      </c>
      <c r="D27" s="3"/>
      <c r="E27" s="88" t="s">
        <v>13</v>
      </c>
      <c r="F27" s="3"/>
      <c r="G27" s="3"/>
      <c r="H27" s="3"/>
      <c r="I27" s="3"/>
      <c r="J27" s="4"/>
      <c r="K27" s="39"/>
    </row>
    <row r="28" spans="1:17" ht="27.95" customHeight="1" x14ac:dyDescent="0.25">
      <c r="A28" s="6"/>
      <c r="B28" s="3"/>
      <c r="C28" s="3"/>
      <c r="D28" s="3"/>
      <c r="E28" s="81">
        <f>0.17*(1+2/ᵦ)*SQRT(fc)</f>
        <v>2.1726328114371589</v>
      </c>
      <c r="F28" s="86" t="s">
        <v>101</v>
      </c>
      <c r="G28" s="86" t="s">
        <v>37</v>
      </c>
      <c r="H28" s="3"/>
      <c r="I28" s="3"/>
      <c r="J28" s="4"/>
      <c r="K28" s="39"/>
    </row>
    <row r="29" spans="1:17" ht="27.95" customHeight="1" x14ac:dyDescent="0.25">
      <c r="A29" s="6"/>
      <c r="B29" s="84" t="s">
        <v>99</v>
      </c>
      <c r="C29" s="3"/>
      <c r="D29" s="3"/>
      <c r="E29" s="81">
        <f>0.083*(αs*d/bo+2)*SQRT(fc)</f>
        <v>2.40610511785989</v>
      </c>
      <c r="F29" s="86" t="s">
        <v>101</v>
      </c>
      <c r="G29" s="86" t="s">
        <v>43</v>
      </c>
      <c r="H29" s="3"/>
      <c r="I29" s="3"/>
      <c r="J29" s="4"/>
    </row>
    <row r="30" spans="1:17" ht="27.95" customHeight="1" x14ac:dyDescent="0.25">
      <c r="A30" s="6"/>
      <c r="B30" s="3"/>
      <c r="C30" s="3"/>
      <c r="D30" s="3"/>
      <c r="E30" s="81">
        <f>0.33*SQRT(fc)</f>
        <v>1.8074844397670482</v>
      </c>
      <c r="F30" s="86" t="s">
        <v>101</v>
      </c>
      <c r="G30" s="86" t="s">
        <v>47</v>
      </c>
      <c r="H30" s="3"/>
      <c r="I30" s="3"/>
      <c r="J30" s="4"/>
      <c r="L30" s="5">
        <f>(b_1*d*(b_1+6*b_2)+d^3)/6</f>
        <v>121130859.375</v>
      </c>
      <c r="M30" s="5">
        <f>(b_2*d*(b_2+6*b_1)+d^3)/6</f>
        <v>116742187.5</v>
      </c>
    </row>
    <row r="31" spans="1:17" ht="19.5" customHeight="1" x14ac:dyDescent="0.25">
      <c r="A31" s="6"/>
      <c r="B31" s="3"/>
      <c r="C31" s="61">
        <f>MIN(E28,E29,E30)*Φshear</f>
        <v>1.3556133298252862</v>
      </c>
      <c r="D31" s="35" t="s">
        <v>28</v>
      </c>
      <c r="E31" s="3"/>
      <c r="F31" s="3"/>
      <c r="G31" s="3"/>
      <c r="H31" s="3"/>
      <c r="I31" s="3"/>
      <c r="J31" s="4"/>
      <c r="L31" s="5">
        <f>(b_1*d*(b_1+3*b_2)+d^3)/3</f>
        <v>142066406.25</v>
      </c>
      <c r="M31" s="5">
        <f>(b_2*d*(b_2+3*b_1)+d^3)/3</f>
        <v>133289062.5</v>
      </c>
    </row>
    <row r="32" spans="1:17" ht="19.5" customHeight="1" x14ac:dyDescent="0.25">
      <c r="A32" s="40" t="s">
        <v>51</v>
      </c>
      <c r="B32" s="3"/>
      <c r="C32" s="3"/>
      <c r="D32" s="3"/>
      <c r="E32" s="3"/>
      <c r="F32" s="3"/>
      <c r="G32" s="3"/>
      <c r="H32" s="3"/>
      <c r="I32" s="3"/>
      <c r="J32" s="4"/>
      <c r="L32" s="5">
        <f>(2*b_1^2*d*(b_1+2*b_2)+d^3*(2*b_1+b_2))/(6*b_1)</f>
        <v>110333264.80263157</v>
      </c>
      <c r="M32" s="5">
        <f>(2*b_2^2*d*(b_2+2*b_1)+d^3*(2*b_2+b_1))/(6*b_2)</f>
        <v>102054843.75</v>
      </c>
    </row>
    <row r="33" spans="1:14" ht="27.95" customHeight="1" x14ac:dyDescent="0.25">
      <c r="A33" s="6"/>
      <c r="B33" s="41"/>
      <c r="C33" s="3"/>
      <c r="D33" s="81">
        <f>1/(1+(2/3)*SQRT(b_1/b_2))</f>
        <v>0.58417861459036335</v>
      </c>
      <c r="E33" s="3"/>
      <c r="F33" s="3"/>
      <c r="G33" s="81">
        <f>1/(1+(2/3)*SQRT(b_2/b_1))</f>
        <v>0.61561550300019385</v>
      </c>
      <c r="H33" s="86" t="s">
        <v>52</v>
      </c>
      <c r="I33" s="3"/>
      <c r="J33" s="42"/>
      <c r="L33" s="5">
        <f>(b_1^2*d*(b_1+4*b_2)+d^3*(b_1+b_2))/(6*b_1)</f>
        <v>89397717.927631572</v>
      </c>
      <c r="M33" s="5">
        <f>(b_2^2*d*(b_2+4*b_1)+d^3*(b_2+b_1))/(6*b_2)</f>
        <v>85507968.75</v>
      </c>
    </row>
    <row r="34" spans="1:14" ht="24" customHeight="1" x14ac:dyDescent="0.25">
      <c r="A34" s="6"/>
      <c r="B34" s="43"/>
      <c r="C34" s="3"/>
      <c r="D34" s="81">
        <f>1-γf_1</f>
        <v>0.41582138540963665</v>
      </c>
      <c r="E34" s="3"/>
      <c r="F34" s="3"/>
      <c r="G34" s="81">
        <f>1-γf2</f>
        <v>0.38438449699980615</v>
      </c>
      <c r="H34" s="86" t="s">
        <v>53</v>
      </c>
      <c r="I34" s="3"/>
      <c r="J34" s="42"/>
    </row>
    <row r="35" spans="1:14" ht="21" customHeight="1" x14ac:dyDescent="0.25">
      <c r="A35" s="6"/>
      <c r="B35" s="3"/>
      <c r="C35" s="3"/>
      <c r="D35" s="87">
        <f>IF(Case="case A",(b_1*d*(b_1+6*b_2)+d^3)/6,IF(Case="case B",(b_1*d*(b_1+3*b_2)+d^3)/3,IF(Case="case C",(2*b_1^2*d*(b_1+2*b_2)+d^3*(2*b_1+b_2))/(6*b_1),IF(Case="case D",(b_1^2*d*(b_1+4*b_2)+d^3*(b_1+b_2))/(6*b_1),0))))</f>
        <v>110333264.80263157</v>
      </c>
      <c r="E35" s="85"/>
      <c r="F35" s="3"/>
      <c r="G35" s="87">
        <f>IF(Case="case A",(b_2*d*(b_2+6*b_1)+d^3)/6,IF(Case="case B",(b_2*d*(b_2+3*b_1)+d^3)/3,IF(Case="case C",(2*b_2^2*d*(b_2+2*b_1)+d^3*(2*b_2+b_1))/(6*b_2),IF(Case="case D",(b_2^2*d*(b_2+4*b_1)+d^3*(b_2+b_1))/(6*b_2),0))))</f>
        <v>102054843.75</v>
      </c>
      <c r="H35" s="86" t="s">
        <v>100</v>
      </c>
      <c r="I35" s="3"/>
      <c r="J35" s="82"/>
    </row>
    <row r="36" spans="1:14" ht="19.5" customHeight="1" x14ac:dyDescent="0.25">
      <c r="A36" s="40" t="s">
        <v>55</v>
      </c>
      <c r="B36" s="3"/>
      <c r="C36" s="3"/>
      <c r="D36" s="36"/>
      <c r="E36" s="36"/>
      <c r="F36" s="3"/>
      <c r="G36" s="3"/>
      <c r="H36" s="36"/>
      <c r="I36" s="3"/>
      <c r="J36" s="44"/>
    </row>
    <row r="37" spans="1:14" ht="19.5" customHeight="1" x14ac:dyDescent="0.25">
      <c r="A37" s="40"/>
      <c r="B37" s="3"/>
      <c r="C37" s="3"/>
      <c r="D37" s="36"/>
      <c r="E37" s="61">
        <f>Φshear*0.5*SQRT(fc)</f>
        <v>2.0539595906443728</v>
      </c>
      <c r="F37" s="86" t="s">
        <v>101</v>
      </c>
      <c r="G37" s="88" t="s">
        <v>57</v>
      </c>
      <c r="H37" s="36"/>
      <c r="I37" s="36"/>
      <c r="J37" s="44"/>
    </row>
    <row r="38" spans="1:14" ht="33" customHeight="1" x14ac:dyDescent="0.25">
      <c r="A38" s="6"/>
      <c r="B38" s="3"/>
      <c r="C38" s="3"/>
      <c r="D38" s="3"/>
      <c r="E38" s="61">
        <f>Vu*1000/(bo*d)+γv_1*Mu_1*10^6/J_C_1+γv2*Mu_2*10^6/J_C_2</f>
        <v>1.7717937402066937</v>
      </c>
      <c r="F38" s="86" t="s">
        <v>101</v>
      </c>
      <c r="G38" s="62" t="str">
        <f>IF(v_u&lt;Φvn_max,"&lt;",IF(v_u=Φvn_max,"=","&gt;"))</f>
        <v>&lt;</v>
      </c>
      <c r="H38" s="107" t="str">
        <f>IF(G38="&gt;","Φvn max, Use Drop Panel","Φvn max")</f>
        <v>Φvn max</v>
      </c>
      <c r="I38" s="107"/>
      <c r="J38" s="108"/>
    </row>
    <row r="39" spans="1:14" ht="15" customHeight="1" x14ac:dyDescent="0.25">
      <c r="A39" s="6"/>
      <c r="B39" s="3"/>
      <c r="C39" s="3"/>
      <c r="D39" s="3"/>
      <c r="E39" s="3"/>
      <c r="F39" s="3"/>
      <c r="G39" s="62" t="str">
        <f>IF(v_u&lt;ΦVc,"&lt;",IF(v_u=ΦVc,"=","&gt;"))</f>
        <v>&gt;</v>
      </c>
      <c r="H39" s="107" t="str">
        <f>IF(AND(G39="&gt;",G38="&lt;"),"ΦVc , Use Drop Panel or Shear RFT.",IF(AND(G39="&gt;",G38="&gt;"),"ΦVc , Use Drop Panel","ΦVc, No need for Shear RFT. "))</f>
        <v>ΦVc , Use Drop Panel or Shear RFT.</v>
      </c>
      <c r="I39" s="107"/>
      <c r="J39" s="108"/>
      <c r="M39" s="37"/>
      <c r="N39" s="3"/>
    </row>
    <row r="40" spans="1:14" ht="15" customHeight="1" x14ac:dyDescent="0.25">
      <c r="A40" s="6"/>
      <c r="B40" s="3"/>
      <c r="C40" s="3"/>
      <c r="D40" s="3"/>
      <c r="E40" s="3"/>
      <c r="F40" s="3"/>
      <c r="G40" s="62"/>
      <c r="H40" s="90"/>
      <c r="I40" s="90"/>
      <c r="J40" s="91"/>
      <c r="M40" s="37"/>
      <c r="N40" s="3"/>
    </row>
    <row r="41" spans="1:14" ht="38.25" customHeight="1" thickBot="1" x14ac:dyDescent="0.3">
      <c r="A41" s="7"/>
      <c r="B41" s="8"/>
      <c r="C41" s="8"/>
      <c r="D41" s="8"/>
      <c r="E41" s="8"/>
      <c r="F41" s="8"/>
      <c r="G41" s="96"/>
      <c r="H41" s="97"/>
      <c r="I41" s="97"/>
      <c r="J41" s="98"/>
      <c r="M41" s="37"/>
      <c r="N41" s="3"/>
    </row>
    <row r="42" spans="1:14" ht="19.5" customHeight="1" thickBot="1" x14ac:dyDescent="0.3">
      <c r="A42" s="45" t="s">
        <v>56</v>
      </c>
      <c r="B42" s="15"/>
      <c r="C42" s="15"/>
      <c r="D42" s="15"/>
      <c r="E42" s="15"/>
      <c r="F42" s="15"/>
      <c r="G42" s="15"/>
      <c r="H42" s="15"/>
      <c r="I42" s="15"/>
      <c r="J42" s="16"/>
      <c r="L42" s="51" t="s">
        <v>64</v>
      </c>
      <c r="M42" s="3"/>
      <c r="N42" s="13"/>
    </row>
    <row r="43" spans="1:14" ht="19.5" customHeight="1" thickBot="1" x14ac:dyDescent="0.4">
      <c r="A43" s="6"/>
      <c r="B43" s="3" t="s">
        <v>59</v>
      </c>
      <c r="C43" s="61">
        <f>IF(v_u&gt;Φvn_max,"N/A",MIN(IF(open_option="External_Calc.",(vucalc-Φshear*0.17*SQRT(fc))/Φshear,IF(v_u&gt;ΦVc,(v_u-Φshear*0.17*SQRT(fc))/Φshear,0)),vs_max))</f>
        <v>1.4312633058501423</v>
      </c>
      <c r="D43" s="86" t="s">
        <v>107</v>
      </c>
      <c r="E43" s="88"/>
      <c r="F43" s="3"/>
      <c r="G43" s="3"/>
      <c r="H43" s="61">
        <f>0.66*SQRT(fc)</f>
        <v>3.6149688795340964</v>
      </c>
      <c r="I43" s="3" t="s">
        <v>108</v>
      </c>
      <c r="J43" s="4"/>
      <c r="L43" s="47" t="s">
        <v>62</v>
      </c>
      <c r="M43" s="49">
        <v>2900</v>
      </c>
      <c r="N43" s="48" t="s">
        <v>29</v>
      </c>
    </row>
    <row r="44" spans="1:14" ht="19.5" customHeight="1" thickBot="1" x14ac:dyDescent="0.4">
      <c r="A44" s="6"/>
      <c r="B44" s="3" t="s">
        <v>58</v>
      </c>
      <c r="C44" s="19">
        <v>100</v>
      </c>
      <c r="D44" s="88" t="s">
        <v>0</v>
      </c>
      <c r="E44" s="111" t="str">
        <f>IF(Sst&gt;S_max,"Not Valid &gt;Smax","OK")</f>
        <v>OK</v>
      </c>
      <c r="F44" s="111"/>
      <c r="G44" s="95" t="s">
        <v>109</v>
      </c>
      <c r="H44" s="94">
        <f>d/2</f>
        <v>112.5</v>
      </c>
      <c r="I44" s="88" t="s">
        <v>110</v>
      </c>
      <c r="J44" s="4"/>
      <c r="L44" s="47" t="s">
        <v>63</v>
      </c>
      <c r="M44" s="52">
        <v>1.62</v>
      </c>
      <c r="N44" s="50" t="s">
        <v>28</v>
      </c>
    </row>
    <row r="45" spans="1:14" ht="19.5" customHeight="1" x14ac:dyDescent="0.35">
      <c r="A45" s="6"/>
      <c r="B45" s="3" t="s">
        <v>15</v>
      </c>
      <c r="C45" s="63">
        <f>IF(v_u&gt;Φvn_max,"N/A",IF(open_option="External_Calc.",vs*bo_calc*Sst/fyt,vs*bo*Sst/fyt))</f>
        <v>698.59280404590277</v>
      </c>
      <c r="D45" s="88" t="s">
        <v>102</v>
      </c>
      <c r="E45" s="3" t="s">
        <v>66</v>
      </c>
      <c r="F45" s="19">
        <v>10</v>
      </c>
      <c r="G45" s="88" t="s">
        <v>0</v>
      </c>
      <c r="H45" s="3"/>
      <c r="I45" s="3"/>
      <c r="J45" s="4"/>
    </row>
    <row r="46" spans="1:14" ht="19.5" customHeight="1" x14ac:dyDescent="0.35">
      <c r="A46" s="6"/>
      <c r="B46" s="3" t="s">
        <v>60</v>
      </c>
      <c r="C46" s="19">
        <v>12</v>
      </c>
      <c r="D46" s="93" t="s">
        <v>81</v>
      </c>
      <c r="E46" s="3"/>
      <c r="F46" s="3"/>
      <c r="G46" s="3"/>
      <c r="H46" s="3" t="s">
        <v>98</v>
      </c>
      <c r="I46" s="83">
        <f>IF(Case="case A",3,IF(Case="case B",4,IF(Case="case C",3,2)))</f>
        <v>3</v>
      </c>
      <c r="J46" s="4"/>
    </row>
    <row r="47" spans="1:14" ht="19.5" customHeight="1" x14ac:dyDescent="0.35">
      <c r="A47" s="6"/>
      <c r="B47" s="3" t="s">
        <v>61</v>
      </c>
      <c r="C47" s="63">
        <f>IF(v_u&gt;Φvn_max,"N/A",Av/nst)</f>
        <v>58.216067003825231</v>
      </c>
      <c r="D47" s="88" t="s">
        <v>103</v>
      </c>
      <c r="E47" s="3"/>
      <c r="F47" s="3"/>
      <c r="G47" s="3"/>
      <c r="H47" s="3"/>
      <c r="I47" s="3"/>
      <c r="J47" s="4"/>
    </row>
    <row r="48" spans="1:14" ht="19.5" customHeight="1" x14ac:dyDescent="0.25">
      <c r="A48" s="6"/>
      <c r="B48" s="3" t="s">
        <v>67</v>
      </c>
      <c r="C48" s="63">
        <f>IF(v_u&gt;Φvn_max,"N/A",VLOOKUP(dp,Rebar_Table,2,FALSE))</f>
        <v>79</v>
      </c>
      <c r="D48" s="88" t="s">
        <v>102</v>
      </c>
      <c r="E48" s="109" t="str">
        <f>IF(v_u&gt;Φvn_max,"",IF(OR(d&lt;150,d&lt;(16*dp)),"Shear RFT. Not Vaild in slab with d&lt;(150mm or 16 times bar Dia), ACI 11.11.3",IF(v_u&lt;ΦVc,"",IF(C48&lt;C47,"Change rebar Dia. or Spacing or no. branches","Use "&amp;nst&amp;" branches T"&amp;dp&amp;" @"&amp;Sst&amp;" distributed on all sides"))))</f>
        <v>Use 12 branches T10 @100 distributed on all sides</v>
      </c>
      <c r="F48" s="109"/>
      <c r="G48" s="109"/>
      <c r="H48" s="109"/>
      <c r="I48" s="109"/>
      <c r="J48" s="110"/>
    </row>
    <row r="49" spans="1:10" ht="19.5" customHeight="1" x14ac:dyDescent="0.25">
      <c r="A49" s="46"/>
      <c r="B49" s="3" t="s">
        <v>82</v>
      </c>
      <c r="C49" s="92">
        <f>IF(v_u&gt;Φvn_max,"N/A",((v_u*bo*d/(0.17*Φshear*d*fc^0.5))-2*(C_1+C_2))/(4*2^0.5))</f>
        <v>565.88201332221001</v>
      </c>
      <c r="D49" s="88" t="s">
        <v>0</v>
      </c>
      <c r="E49" s="88" t="s">
        <v>104</v>
      </c>
      <c r="F49" s="3"/>
      <c r="G49" s="3"/>
      <c r="H49" s="3"/>
      <c r="I49" s="3"/>
      <c r="J49" s="4"/>
    </row>
    <row r="50" spans="1:10" ht="19.5" customHeight="1" x14ac:dyDescent="0.25">
      <c r="A50" s="6"/>
      <c r="B50" s="3"/>
      <c r="C50" s="3"/>
      <c r="D50" s="3"/>
      <c r="E50" s="3"/>
      <c r="F50" s="3"/>
      <c r="G50" s="3"/>
      <c r="H50" s="3"/>
      <c r="I50" s="3"/>
      <c r="J50" s="4"/>
    </row>
    <row r="51" spans="1:10" ht="19.5" customHeight="1" x14ac:dyDescent="0.25">
      <c r="A51" s="6"/>
      <c r="B51" s="3"/>
      <c r="C51" s="3"/>
      <c r="D51" s="3"/>
      <c r="E51" s="3"/>
      <c r="F51" s="3"/>
      <c r="G51" s="3"/>
      <c r="H51" s="3"/>
      <c r="I51" s="3"/>
      <c r="J51" s="4"/>
    </row>
    <row r="52" spans="1:10" ht="19.5" customHeight="1" x14ac:dyDescent="0.25">
      <c r="A52" s="6"/>
      <c r="B52" s="3"/>
      <c r="C52" s="3"/>
      <c r="D52" s="3"/>
      <c r="E52" s="3"/>
      <c r="F52" s="3"/>
      <c r="G52" s="3"/>
      <c r="H52" s="3"/>
      <c r="I52" s="3"/>
      <c r="J52" s="4"/>
    </row>
    <row r="53" spans="1:10" ht="19.5" customHeight="1" x14ac:dyDescent="0.25">
      <c r="A53" s="6"/>
      <c r="B53" s="3"/>
      <c r="C53" s="3"/>
      <c r="D53" s="3"/>
      <c r="E53" s="3"/>
      <c r="F53" s="3"/>
      <c r="G53" s="3"/>
      <c r="H53" s="3"/>
      <c r="I53" s="3"/>
      <c r="J53" s="4"/>
    </row>
    <row r="54" spans="1:10" ht="19.5" customHeight="1" x14ac:dyDescent="0.25">
      <c r="A54" s="6"/>
      <c r="B54" s="3"/>
      <c r="C54" s="3"/>
      <c r="D54" s="3"/>
      <c r="E54" s="3"/>
      <c r="F54" s="3"/>
      <c r="G54" s="3"/>
      <c r="H54" s="3"/>
      <c r="I54" s="3"/>
      <c r="J54" s="4"/>
    </row>
    <row r="55" spans="1:10" ht="19.5" customHeight="1" x14ac:dyDescent="0.25">
      <c r="A55" s="6"/>
      <c r="B55" s="3"/>
      <c r="C55" s="3"/>
      <c r="D55" s="3"/>
      <c r="E55" s="3"/>
      <c r="F55" s="3"/>
      <c r="G55" s="3"/>
      <c r="H55" s="3"/>
      <c r="I55" s="3"/>
      <c r="J55" s="4"/>
    </row>
    <row r="56" spans="1:10" ht="19.5" customHeight="1" x14ac:dyDescent="0.25">
      <c r="A56" s="6"/>
      <c r="B56" s="3"/>
      <c r="C56" s="3"/>
      <c r="D56" s="3"/>
      <c r="E56" s="3"/>
      <c r="F56" s="3"/>
      <c r="G56" s="3"/>
      <c r="H56" s="3"/>
      <c r="I56" s="3"/>
      <c r="J56" s="4"/>
    </row>
    <row r="57" spans="1:10" ht="19.5" customHeight="1" x14ac:dyDescent="0.25">
      <c r="A57" s="6"/>
      <c r="B57" s="3"/>
      <c r="C57" s="3"/>
      <c r="D57" s="3"/>
      <c r="E57" s="3"/>
      <c r="F57" s="3"/>
      <c r="G57" s="3"/>
      <c r="H57" s="3"/>
      <c r="I57" s="3"/>
      <c r="J57" s="4"/>
    </row>
    <row r="58" spans="1:10" ht="19.5" customHeight="1" x14ac:dyDescent="0.25">
      <c r="A58" s="6"/>
      <c r="B58" s="3"/>
      <c r="C58" s="3"/>
      <c r="D58" s="3"/>
      <c r="E58" s="3"/>
      <c r="F58" s="3"/>
      <c r="G58" s="3"/>
      <c r="H58" s="3"/>
      <c r="I58" s="3"/>
      <c r="J58" s="4"/>
    </row>
    <row r="59" spans="1:10" ht="19.5" customHeight="1" x14ac:dyDescent="0.25">
      <c r="A59" s="6"/>
      <c r="B59" s="3"/>
      <c r="C59" s="3"/>
      <c r="D59" s="3"/>
      <c r="E59" s="3"/>
      <c r="F59" s="3"/>
      <c r="G59" s="3"/>
      <c r="H59" s="3"/>
      <c r="I59" s="3"/>
      <c r="J59" s="4"/>
    </row>
    <row r="60" spans="1:10" ht="19.5" customHeight="1" x14ac:dyDescent="0.25">
      <c r="A60" s="6"/>
      <c r="B60" s="3"/>
      <c r="C60" s="3"/>
      <c r="D60" s="3"/>
      <c r="E60" s="3"/>
      <c r="F60" s="3"/>
      <c r="G60" s="3"/>
      <c r="H60" s="3"/>
      <c r="I60" s="3"/>
      <c r="J60" s="4"/>
    </row>
    <row r="61" spans="1:10" ht="19.5" customHeight="1" x14ac:dyDescent="0.25">
      <c r="A61" s="6"/>
      <c r="B61" s="3"/>
      <c r="C61" s="3"/>
      <c r="D61" s="3"/>
      <c r="E61" s="3"/>
      <c r="F61" s="3"/>
      <c r="G61" s="3"/>
      <c r="H61" s="3"/>
      <c r="I61" s="3"/>
      <c r="J61" s="4"/>
    </row>
    <row r="62" spans="1:10" ht="19.5" customHeight="1" x14ac:dyDescent="0.25">
      <c r="A62" s="6"/>
      <c r="B62" s="3"/>
      <c r="C62" s="3"/>
      <c r="D62" s="3"/>
      <c r="E62" s="3"/>
      <c r="F62" s="3"/>
      <c r="G62" s="3"/>
      <c r="H62" s="3"/>
      <c r="I62" s="3"/>
      <c r="J62" s="4"/>
    </row>
    <row r="63" spans="1:10" ht="19.5" customHeight="1" x14ac:dyDescent="0.25">
      <c r="A63" s="6"/>
      <c r="B63" s="3"/>
      <c r="C63" s="3"/>
      <c r="D63" s="3"/>
      <c r="E63" s="3"/>
      <c r="F63" s="3"/>
      <c r="G63" s="3"/>
      <c r="H63" s="3"/>
      <c r="I63" s="3"/>
      <c r="J63" s="4"/>
    </row>
    <row r="64" spans="1:10" ht="19.5" customHeight="1" x14ac:dyDescent="0.25">
      <c r="A64" s="6"/>
      <c r="B64" s="3"/>
      <c r="C64" s="3"/>
      <c r="D64" s="3"/>
      <c r="E64" s="3"/>
      <c r="F64" s="3"/>
      <c r="G64" s="3"/>
      <c r="H64" s="3"/>
      <c r="I64" s="3"/>
      <c r="J64" s="4"/>
    </row>
    <row r="65" spans="1:10" ht="19.5" customHeight="1" x14ac:dyDescent="0.25">
      <c r="A65" s="6"/>
      <c r="B65" s="3"/>
      <c r="C65" s="3"/>
      <c r="D65" s="3"/>
      <c r="E65" s="3"/>
      <c r="F65" s="3"/>
      <c r="G65" s="3"/>
      <c r="H65" s="3"/>
      <c r="I65" s="3"/>
      <c r="J65" s="4"/>
    </row>
    <row r="66" spans="1:10" ht="19.5" customHeight="1" x14ac:dyDescent="0.25">
      <c r="A66" s="6"/>
      <c r="B66" s="3"/>
      <c r="C66" s="3"/>
      <c r="D66" s="3"/>
      <c r="E66" s="3"/>
      <c r="F66" s="3"/>
      <c r="G66" s="3"/>
      <c r="H66" s="3"/>
      <c r="I66" s="3"/>
      <c r="J66" s="4"/>
    </row>
    <row r="67" spans="1:10" ht="19.5" customHeight="1" x14ac:dyDescent="0.25">
      <c r="A67" s="6"/>
      <c r="B67" s="3"/>
      <c r="C67" s="3"/>
      <c r="D67" s="3"/>
      <c r="E67" s="3"/>
      <c r="F67" s="3"/>
      <c r="G67" s="3"/>
      <c r="H67" s="3"/>
      <c r="I67" s="3"/>
      <c r="J67" s="4"/>
    </row>
    <row r="68" spans="1:10" ht="44.25" customHeight="1" x14ac:dyDescent="0.25">
      <c r="A68" s="6"/>
      <c r="B68" s="3"/>
      <c r="C68" s="3"/>
      <c r="D68" s="3"/>
      <c r="E68" s="3"/>
      <c r="F68" s="3"/>
      <c r="G68" s="3"/>
      <c r="H68" s="3"/>
      <c r="I68" s="3"/>
      <c r="J68" s="4"/>
    </row>
    <row r="69" spans="1:10" ht="19.5" customHeight="1" x14ac:dyDescent="0.25">
      <c r="A69" s="6"/>
      <c r="B69" s="3"/>
      <c r="C69" s="3"/>
      <c r="D69" s="3"/>
      <c r="E69" s="3"/>
      <c r="F69" s="3"/>
      <c r="G69" s="3"/>
      <c r="H69" s="3"/>
      <c r="I69" s="3"/>
      <c r="J69" s="4"/>
    </row>
    <row r="70" spans="1:10" ht="19.5" customHeight="1" x14ac:dyDescent="0.25">
      <c r="A70" s="6"/>
      <c r="B70" s="3"/>
      <c r="C70" s="3"/>
      <c r="D70" s="3"/>
      <c r="E70" s="3"/>
      <c r="F70" s="3"/>
      <c r="G70" s="3"/>
      <c r="H70" s="3"/>
      <c r="I70" s="3"/>
      <c r="J70" s="4"/>
    </row>
    <row r="71" spans="1:10" ht="19.5" customHeight="1" x14ac:dyDescent="0.25">
      <c r="A71" s="6"/>
      <c r="B71" s="3"/>
      <c r="C71" s="3"/>
      <c r="D71" s="3"/>
      <c r="E71" s="3"/>
      <c r="F71" s="3"/>
      <c r="G71" s="3"/>
      <c r="H71" s="3"/>
      <c r="I71" s="3"/>
      <c r="J71" s="4"/>
    </row>
    <row r="72" spans="1:10" ht="19.5" customHeight="1" x14ac:dyDescent="0.25">
      <c r="A72" s="6"/>
      <c r="B72" s="3"/>
      <c r="C72" s="3"/>
      <c r="D72" s="3"/>
      <c r="E72" s="3"/>
      <c r="F72" s="3"/>
      <c r="G72" s="3"/>
      <c r="H72" s="3"/>
      <c r="I72" s="3"/>
      <c r="J72" s="4"/>
    </row>
    <row r="73" spans="1:10" ht="19.5" customHeight="1" x14ac:dyDescent="0.25">
      <c r="A73" s="6"/>
      <c r="B73" s="3"/>
      <c r="C73" s="3"/>
      <c r="D73" s="3"/>
      <c r="E73" s="3"/>
      <c r="F73" s="3"/>
      <c r="G73" s="3"/>
      <c r="H73" s="3"/>
      <c r="I73" s="3"/>
      <c r="J73" s="4"/>
    </row>
    <row r="74" spans="1:10" ht="19.5" customHeight="1" x14ac:dyDescent="0.25">
      <c r="A74" s="6"/>
      <c r="B74" s="3"/>
      <c r="C74" s="3"/>
      <c r="D74" s="3"/>
      <c r="E74" s="3"/>
      <c r="F74" s="3"/>
      <c r="G74" s="3"/>
      <c r="H74" s="3"/>
      <c r="I74" s="3"/>
      <c r="J74" s="4"/>
    </row>
    <row r="75" spans="1:10" ht="19.5" customHeight="1" x14ac:dyDescent="0.25">
      <c r="A75" s="6"/>
      <c r="B75" s="3"/>
      <c r="C75" s="3"/>
      <c r="D75" s="3"/>
      <c r="E75" s="3"/>
      <c r="F75" s="3"/>
      <c r="G75" s="3"/>
      <c r="H75" s="3"/>
      <c r="I75" s="3"/>
      <c r="J75" s="4"/>
    </row>
    <row r="76" spans="1:10" ht="19.5" customHeight="1" x14ac:dyDescent="0.25">
      <c r="A76" s="6"/>
      <c r="B76" s="3"/>
      <c r="C76" s="3"/>
      <c r="D76" s="3"/>
      <c r="E76" s="3"/>
      <c r="F76" s="3"/>
      <c r="G76" s="3"/>
      <c r="H76" s="3"/>
      <c r="I76" s="3"/>
      <c r="J76" s="4"/>
    </row>
    <row r="77" spans="1:10" ht="19.5" customHeight="1" x14ac:dyDescent="0.25">
      <c r="A77" s="6"/>
      <c r="B77" s="3"/>
      <c r="C77" s="3"/>
      <c r="D77" s="3"/>
      <c r="E77" s="3"/>
      <c r="F77" s="3"/>
      <c r="G77" s="3"/>
      <c r="H77" s="3"/>
      <c r="I77" s="3"/>
      <c r="J77" s="4"/>
    </row>
    <row r="78" spans="1:10" ht="88.5" customHeight="1" thickBot="1" x14ac:dyDescent="0.3">
      <c r="A78" s="7"/>
      <c r="B78" s="8"/>
      <c r="C78" s="8"/>
      <c r="D78" s="8"/>
      <c r="E78" s="8"/>
      <c r="F78" s="8"/>
      <c r="G78" s="8"/>
      <c r="H78" s="8"/>
      <c r="I78" s="8"/>
      <c r="J78" s="9"/>
    </row>
    <row r="79" spans="1:10" ht="19.5" customHeight="1" x14ac:dyDescent="0.25"/>
    <row r="80" spans="1:10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</sheetData>
  <sheetProtection algorithmName="SHA-512" hashValue="FSXc3SxoXzYLPaVizS0ZskmsaFTZf0hl4S+JEjIFPEPNiRmnqEyakVmDjw0C5ubXgruMue0seLYpiUfEJD7/+w==" saltValue="fQOyC+1jLRAIQ9G7zbU1YQ==" spinCount="100000" sheet="1" objects="1" scenarios="1"/>
  <mergeCells count="8">
    <mergeCell ref="K1:N6"/>
    <mergeCell ref="H4:J4"/>
    <mergeCell ref="H39:J39"/>
    <mergeCell ref="C16:D16"/>
    <mergeCell ref="A1:G1"/>
    <mergeCell ref="H38:J38"/>
    <mergeCell ref="E48:J48"/>
    <mergeCell ref="E44:F44"/>
  </mergeCells>
  <conditionalFormatting sqref="H38">
    <cfRule type="cellIs" dxfId="6" priority="7" operator="equal">
      <formula>"Φvn max, Use Drop Panel"</formula>
    </cfRule>
  </conditionalFormatting>
  <conditionalFormatting sqref="H39:H41">
    <cfRule type="cellIs" dxfId="5" priority="5" operator="equal">
      <formula>"ΦVc , Use Drop Panel or Shear RFT."</formula>
    </cfRule>
    <cfRule type="cellIs" dxfId="4" priority="6" operator="equal">
      <formula>"ΦVc , Use Drop Panel"</formula>
    </cfRule>
  </conditionalFormatting>
  <conditionalFormatting sqref="E45">
    <cfRule type="cellIs" dxfId="3" priority="4" operator="equal">
      <formula>"s &gt; d/2"</formula>
    </cfRule>
  </conditionalFormatting>
  <conditionalFormatting sqref="E48">
    <cfRule type="cellIs" dxfId="2" priority="3" operator="equal">
      <formula>"Change rebar Dia. or Spacing or no. branches"</formula>
    </cfRule>
  </conditionalFormatting>
  <conditionalFormatting sqref="E48:J48">
    <cfRule type="cellIs" dxfId="1" priority="2" operator="equal">
      <formula>"Shear RFT. Not Vaild in slab with d&lt;(150mm or 16 times bar Dia), ACI 11.11.3"</formula>
    </cfRule>
  </conditionalFormatting>
  <conditionalFormatting sqref="E44:F44">
    <cfRule type="cellIs" dxfId="0" priority="1" operator="equal">
      <formula>"Not Valid &gt;Smax"</formula>
    </cfRule>
  </conditionalFormatting>
  <dataValidations count="3">
    <dataValidation type="list" allowBlank="1" showInputMessage="1" showErrorMessage="1" sqref="L42">
      <formula1>Table_External</formula1>
    </dataValidation>
    <dataValidation type="list" allowBlank="1" showInputMessage="1" showErrorMessage="1" sqref="P23:P24 O25">
      <formula1>EGCASE</formula1>
    </dataValidation>
    <dataValidation type="list" allowBlank="1" showInputMessage="1" showErrorMessage="1" sqref="C16">
      <formula1>ColumnLocation</formula1>
    </dataValidation>
  </dataValidations>
  <hyperlinks>
    <hyperlink ref="K7" r:id="rId1"/>
  </hyperlinks>
  <printOptions horizontalCentered="1"/>
  <pageMargins left="0.39370078740157499" right="0.39370078740157499" top="0.39370078740157499" bottom="0.39370078740157499" header="0" footer="0"/>
  <pageSetup paperSize="9" scale="88" fitToHeight="2" orientation="portrait" horizontalDpi="200" verticalDpi="200" r:id="rId2"/>
  <headerFooter>
    <oddFooter xml:space="preserve">&amp;L     Slab Punching Design, ACI318-08 &amp;CPage &amp;P of &amp;N&amp;RM.A.S      </oddFooter>
  </headerFooter>
  <rowBreaks count="1" manualBreakCount="1">
    <brk id="41" max="16383" man="1"/>
  </rowBrea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7"/>
  <sheetViews>
    <sheetView topLeftCell="A16" workbookViewId="0">
      <selection activeCell="M23" sqref="M23"/>
    </sheetView>
  </sheetViews>
  <sheetFormatPr defaultRowHeight="15" x14ac:dyDescent="0.25"/>
  <sheetData>
    <row r="3" spans="2:11" x14ac:dyDescent="0.25">
      <c r="B3" s="100" t="s">
        <v>132</v>
      </c>
      <c r="C3" s="100"/>
      <c r="D3" s="100"/>
      <c r="E3" s="100"/>
      <c r="F3" s="100"/>
    </row>
    <row r="4" spans="2:11" x14ac:dyDescent="0.25">
      <c r="B4" t="s">
        <v>133</v>
      </c>
      <c r="D4" t="s">
        <v>113</v>
      </c>
      <c r="H4">
        <v>14</v>
      </c>
      <c r="I4" t="s">
        <v>158</v>
      </c>
      <c r="J4">
        <v>14</v>
      </c>
      <c r="K4" t="s">
        <v>166</v>
      </c>
    </row>
    <row r="5" spans="2:11" x14ac:dyDescent="0.25">
      <c r="B5" t="s">
        <v>134</v>
      </c>
      <c r="D5" t="s">
        <v>113</v>
      </c>
      <c r="H5">
        <v>10</v>
      </c>
      <c r="K5" t="s">
        <v>155</v>
      </c>
    </row>
    <row r="6" spans="2:11" x14ac:dyDescent="0.25">
      <c r="B6" t="s">
        <v>135</v>
      </c>
      <c r="H6">
        <v>25</v>
      </c>
      <c r="I6" t="s">
        <v>158</v>
      </c>
      <c r="J6">
        <v>20</v>
      </c>
      <c r="K6" t="s">
        <v>159</v>
      </c>
    </row>
    <row r="7" spans="2:11" x14ac:dyDescent="0.25">
      <c r="B7" t="s">
        <v>136</v>
      </c>
      <c r="D7" t="s">
        <v>113</v>
      </c>
      <c r="H7">
        <f>2*((H4+H19)+(J4+H19))</f>
        <v>92</v>
      </c>
      <c r="K7" t="s">
        <v>155</v>
      </c>
    </row>
    <row r="8" spans="2:11" x14ac:dyDescent="0.25">
      <c r="B8" t="s">
        <v>137</v>
      </c>
      <c r="H8">
        <v>4000</v>
      </c>
      <c r="K8" t="s">
        <v>167</v>
      </c>
    </row>
    <row r="9" spans="2:11" x14ac:dyDescent="0.25">
      <c r="B9" t="s">
        <v>138</v>
      </c>
      <c r="H9">
        <v>60000</v>
      </c>
      <c r="K9" t="s">
        <v>167</v>
      </c>
    </row>
    <row r="10" spans="2:11" x14ac:dyDescent="0.25">
      <c r="B10" s="101" t="s">
        <v>139</v>
      </c>
      <c r="D10" t="s">
        <v>113</v>
      </c>
      <c r="H10">
        <f>SQRT(H8)*H7*H19/1000</f>
        <v>52.367318052388363</v>
      </c>
    </row>
    <row r="11" spans="2:11" x14ac:dyDescent="0.25">
      <c r="B11" s="101" t="s">
        <v>140</v>
      </c>
      <c r="D11" t="s">
        <v>113</v>
      </c>
      <c r="H11">
        <f>SQRT(H8)*H7/1000</f>
        <v>5.8185908947098177</v>
      </c>
    </row>
    <row r="12" spans="2:11" x14ac:dyDescent="0.25">
      <c r="B12" s="101" t="s">
        <v>141</v>
      </c>
      <c r="D12" t="s">
        <v>113</v>
      </c>
      <c r="H12">
        <f>H4/J4</f>
        <v>1</v>
      </c>
    </row>
    <row r="13" spans="2:11" x14ac:dyDescent="0.25">
      <c r="B13" s="101" t="s">
        <v>142</v>
      </c>
      <c r="H13">
        <v>40</v>
      </c>
    </row>
    <row r="19" spans="2:8" x14ac:dyDescent="0.25">
      <c r="B19" t="s">
        <v>143</v>
      </c>
      <c r="H19">
        <f>H5-1</f>
        <v>9</v>
      </c>
    </row>
    <row r="20" spans="2:8" x14ac:dyDescent="0.25">
      <c r="B20" t="s">
        <v>144</v>
      </c>
      <c r="H20">
        <f>(H6*J6)-(H4+H19)*(J4+H19)/144</f>
        <v>496.32638888888891</v>
      </c>
    </row>
    <row r="21" spans="2:8" x14ac:dyDescent="0.25">
      <c r="B21" t="s">
        <v>145</v>
      </c>
      <c r="D21" t="s">
        <v>113</v>
      </c>
      <c r="H21">
        <v>0.38040000000000002</v>
      </c>
    </row>
    <row r="22" spans="2:8" x14ac:dyDescent="0.25">
      <c r="B22" t="s">
        <v>146</v>
      </c>
      <c r="D22" t="s">
        <v>113</v>
      </c>
      <c r="H22">
        <f>H20*H21</f>
        <v>188.80255833333334</v>
      </c>
    </row>
    <row r="24" spans="2:8" x14ac:dyDescent="0.25">
      <c r="F24" t="s">
        <v>147</v>
      </c>
    </row>
    <row r="25" spans="2:8" x14ac:dyDescent="0.25">
      <c r="B25" t="s">
        <v>148</v>
      </c>
      <c r="D25" t="s">
        <v>113</v>
      </c>
      <c r="E25">
        <f>4*H10</f>
        <v>209.46927220955345</v>
      </c>
      <c r="F25">
        <v>0.75</v>
      </c>
      <c r="G25">
        <f>E25*F25</f>
        <v>157.1019541571651</v>
      </c>
      <c r="H25" t="s">
        <v>149</v>
      </c>
    </row>
    <row r="26" spans="2:8" x14ac:dyDescent="0.25">
      <c r="E26">
        <f>(2+4/H12)*H10</f>
        <v>314.20390831433019</v>
      </c>
      <c r="F26">
        <v>0.75</v>
      </c>
      <c r="G26">
        <f t="shared" ref="G26:G27" si="0">E26*F26</f>
        <v>235.65293123574764</v>
      </c>
      <c r="H26" t="s">
        <v>149</v>
      </c>
    </row>
    <row r="27" spans="2:8" x14ac:dyDescent="0.25">
      <c r="E27">
        <f>((H13*H19/H7)+2)*H10</f>
        <v>309.65022848368767</v>
      </c>
      <c r="F27">
        <v>0.75</v>
      </c>
      <c r="G27">
        <f t="shared" si="0"/>
        <v>232.23767136276575</v>
      </c>
      <c r="H27" t="s">
        <v>149</v>
      </c>
    </row>
    <row r="28" spans="2:8" x14ac:dyDescent="0.25">
      <c r="B28" t="s">
        <v>150</v>
      </c>
      <c r="D28" t="s">
        <v>113</v>
      </c>
      <c r="G28">
        <f>MIN(G25:G27)</f>
        <v>157.1019541571651</v>
      </c>
      <c r="H28" t="s">
        <v>149</v>
      </c>
    </row>
    <row r="29" spans="2:8" x14ac:dyDescent="0.25">
      <c r="D29" t="s">
        <v>113</v>
      </c>
    </row>
    <row r="30" spans="2:8" x14ac:dyDescent="0.25">
      <c r="B30" s="101" t="s">
        <v>151</v>
      </c>
      <c r="D30" t="s">
        <v>113</v>
      </c>
      <c r="E30">
        <f>H22/G28</f>
        <v>1.2017836400968946</v>
      </c>
      <c r="G30" t="str">
        <f>IF(E30&lt;1, "Hence Ok", "shear Reinf Required")</f>
        <v>shear Reinf Required</v>
      </c>
    </row>
    <row r="32" spans="2:8" x14ac:dyDescent="0.25">
      <c r="B32" s="103" t="s">
        <v>152</v>
      </c>
    </row>
    <row r="33" spans="2:8" x14ac:dyDescent="0.25">
      <c r="B33" t="s">
        <v>153</v>
      </c>
      <c r="D33" t="s">
        <v>113</v>
      </c>
      <c r="E33">
        <f>H22/(F25*4*H11)</f>
        <v>10.816052760872052</v>
      </c>
    </row>
    <row r="34" spans="2:8" x14ac:dyDescent="0.25">
      <c r="B34" t="s">
        <v>154</v>
      </c>
      <c r="E34">
        <f>(E33+1.5)</f>
        <v>12.316052760872052</v>
      </c>
      <c r="G34">
        <v>12</v>
      </c>
      <c r="H34" t="s">
        <v>155</v>
      </c>
    </row>
    <row r="35" spans="2:8" x14ac:dyDescent="0.25">
      <c r="B35" t="s">
        <v>156</v>
      </c>
      <c r="D35" t="s">
        <v>113</v>
      </c>
      <c r="E35">
        <f>G34-H5</f>
        <v>2</v>
      </c>
      <c r="F35">
        <f>H5/4</f>
        <v>2.5</v>
      </c>
    </row>
    <row r="36" spans="2:8" x14ac:dyDescent="0.25">
      <c r="D36" t="s">
        <v>113</v>
      </c>
      <c r="E36">
        <f>MAX(E35:F35)</f>
        <v>2.5</v>
      </c>
      <c r="F36" t="s">
        <v>155</v>
      </c>
    </row>
    <row r="37" spans="2:8" x14ac:dyDescent="0.25">
      <c r="B37" t="s">
        <v>157</v>
      </c>
      <c r="D37" t="s">
        <v>113</v>
      </c>
      <c r="E37">
        <f>(H6/6)</f>
        <v>4.166666666666667</v>
      </c>
      <c r="F37" t="s">
        <v>158</v>
      </c>
      <c r="G37">
        <f>J6/6</f>
        <v>3.3333333333333335</v>
      </c>
      <c r="H37" t="s">
        <v>159</v>
      </c>
    </row>
    <row r="38" spans="2:8" x14ac:dyDescent="0.25">
      <c r="E38">
        <v>4.25</v>
      </c>
      <c r="F38" t="s">
        <v>158</v>
      </c>
      <c r="G38">
        <v>3.5</v>
      </c>
      <c r="H38" t="s">
        <v>159</v>
      </c>
    </row>
    <row r="40" spans="2:8" x14ac:dyDescent="0.25">
      <c r="B40" s="103" t="s">
        <v>160</v>
      </c>
    </row>
    <row r="41" spans="2:8" x14ac:dyDescent="0.25">
      <c r="B41" t="s">
        <v>136</v>
      </c>
      <c r="D41" t="s">
        <v>113</v>
      </c>
      <c r="E41">
        <f>H22*1000/(F25*4*SQRT(H8)*H19)</f>
        <v>110.56409488891433</v>
      </c>
      <c r="G41" t="s">
        <v>155</v>
      </c>
    </row>
    <row r="42" spans="2:8" x14ac:dyDescent="0.25">
      <c r="B42" t="s">
        <v>161</v>
      </c>
      <c r="D42" t="s">
        <v>113</v>
      </c>
      <c r="E42">
        <f>E41/4-H19</f>
        <v>18.641023722228582</v>
      </c>
      <c r="F42" t="s">
        <v>113</v>
      </c>
      <c r="G42">
        <v>19</v>
      </c>
      <c r="H42" t="s">
        <v>155</v>
      </c>
    </row>
    <row r="43" spans="2:8" x14ac:dyDescent="0.25">
      <c r="B43" t="s">
        <v>162</v>
      </c>
      <c r="D43" t="s">
        <v>113</v>
      </c>
      <c r="G43">
        <f>0.5*(G42-H4)</f>
        <v>2.5</v>
      </c>
      <c r="H43" t="s">
        <v>155</v>
      </c>
    </row>
    <row r="44" spans="2:8" x14ac:dyDescent="0.25">
      <c r="D44" t="s">
        <v>113</v>
      </c>
    </row>
    <row r="45" spans="2:8" x14ac:dyDescent="0.25">
      <c r="D45" s="101" t="s">
        <v>163</v>
      </c>
      <c r="E45" t="s">
        <v>164</v>
      </c>
      <c r="F45" t="s">
        <v>165</v>
      </c>
    </row>
    <row r="46" spans="2:8" x14ac:dyDescent="0.25">
      <c r="D46">
        <v>30</v>
      </c>
      <c r="E46">
        <f>TAN(30*3.14/180)</f>
        <v>0.57699640039287292</v>
      </c>
      <c r="F46">
        <f>G43/E46</f>
        <v>4.3327826625915984</v>
      </c>
    </row>
    <row r="47" spans="2:8" x14ac:dyDescent="0.25">
      <c r="D47">
        <v>20</v>
      </c>
      <c r="E47">
        <f>TAN(20*3.14/180)</f>
        <v>0.36376984280336827</v>
      </c>
      <c r="F47">
        <f>G43/E47</f>
        <v>6.8724773354875026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9"/>
  <sheetViews>
    <sheetView tabSelected="1" topLeftCell="A10" workbookViewId="0">
      <selection activeCell="B30" sqref="B30"/>
    </sheetView>
  </sheetViews>
  <sheetFormatPr defaultRowHeight="15" x14ac:dyDescent="0.25"/>
  <sheetData>
    <row r="2" spans="2:3" x14ac:dyDescent="0.25">
      <c r="B2" t="s">
        <v>172</v>
      </c>
    </row>
    <row r="3" spans="2:3" x14ac:dyDescent="0.25">
      <c r="B3" s="120" t="s">
        <v>168</v>
      </c>
      <c r="C3" s="121"/>
    </row>
    <row r="4" spans="2:3" x14ac:dyDescent="0.25">
      <c r="B4" s="122" t="s">
        <v>169</v>
      </c>
      <c r="C4" s="123">
        <v>1</v>
      </c>
    </row>
    <row r="5" spans="2:3" x14ac:dyDescent="0.25">
      <c r="B5" s="122" t="s">
        <v>170</v>
      </c>
      <c r="C5" s="123">
        <v>1</v>
      </c>
    </row>
    <row r="6" spans="2:3" x14ac:dyDescent="0.25">
      <c r="B6" s="124" t="s">
        <v>171</v>
      </c>
      <c r="C6" s="125"/>
    </row>
    <row r="8" spans="2:3" x14ac:dyDescent="0.25">
      <c r="B8" s="120" t="s">
        <v>173</v>
      </c>
      <c r="C8" s="121"/>
    </row>
    <row r="9" spans="2:3" x14ac:dyDescent="0.25">
      <c r="B9" s="122" t="s">
        <v>169</v>
      </c>
      <c r="C9" s="123">
        <v>1</v>
      </c>
    </row>
    <row r="10" spans="2:3" x14ac:dyDescent="0.25">
      <c r="B10" s="122" t="s">
        <v>170</v>
      </c>
      <c r="C10" s="123">
        <v>0.25</v>
      </c>
    </row>
    <row r="11" spans="2:3" x14ac:dyDescent="0.25">
      <c r="B11" s="124" t="s">
        <v>171</v>
      </c>
      <c r="C11" s="125"/>
    </row>
    <row r="13" spans="2:3" x14ac:dyDescent="0.25">
      <c r="B13" s="120" t="s">
        <v>174</v>
      </c>
      <c r="C13" s="121"/>
    </row>
    <row r="14" spans="2:3" x14ac:dyDescent="0.25">
      <c r="B14" s="122" t="s">
        <v>169</v>
      </c>
      <c r="C14" s="123">
        <v>1</v>
      </c>
    </row>
    <row r="15" spans="2:3" x14ac:dyDescent="0.25">
      <c r="B15" s="122" t="s">
        <v>170</v>
      </c>
      <c r="C15" s="123">
        <v>0.25</v>
      </c>
    </row>
    <row r="16" spans="2:3" x14ac:dyDescent="0.25">
      <c r="B16" s="124" t="s">
        <v>175</v>
      </c>
      <c r="C16" s="125"/>
    </row>
    <row r="18" spans="2:3" x14ac:dyDescent="0.25">
      <c r="B18" t="s">
        <v>176</v>
      </c>
    </row>
    <row r="19" spans="2:3" x14ac:dyDescent="0.25">
      <c r="B19" s="120" t="s">
        <v>178</v>
      </c>
      <c r="C19" s="121"/>
    </row>
    <row r="20" spans="2:3" x14ac:dyDescent="0.25">
      <c r="B20" s="122" t="s">
        <v>169</v>
      </c>
      <c r="C20" s="123">
        <v>1</v>
      </c>
    </row>
    <row r="21" spans="2:3" x14ac:dyDescent="0.25">
      <c r="B21" s="122" t="s">
        <v>170</v>
      </c>
      <c r="C21" s="123">
        <v>1</v>
      </c>
    </row>
    <row r="22" spans="2:3" x14ac:dyDescent="0.25">
      <c r="B22" s="124" t="s">
        <v>177</v>
      </c>
      <c r="C22" s="125"/>
    </row>
    <row r="24" spans="2:3" x14ac:dyDescent="0.25">
      <c r="B24" s="120" t="s">
        <v>179</v>
      </c>
      <c r="C24" s="121"/>
    </row>
    <row r="25" spans="2:3" x14ac:dyDescent="0.25">
      <c r="B25" s="122" t="s">
        <v>180</v>
      </c>
      <c r="C25" s="123">
        <v>1</v>
      </c>
    </row>
    <row r="26" spans="2:3" x14ac:dyDescent="0.25">
      <c r="B26" s="122" t="s">
        <v>181</v>
      </c>
      <c r="C26" s="123">
        <v>-1</v>
      </c>
    </row>
    <row r="27" spans="2:3" x14ac:dyDescent="0.25">
      <c r="B27" s="124" t="s">
        <v>182</v>
      </c>
      <c r="C27" s="125">
        <v>1</v>
      </c>
    </row>
    <row r="29" spans="2:3" x14ac:dyDescent="0.25">
      <c r="B29" t="s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C5" sqref="C5"/>
    </sheetView>
  </sheetViews>
  <sheetFormatPr defaultRowHeight="15" x14ac:dyDescent="0.25"/>
  <cols>
    <col min="2" max="2" width="9.85546875" customWidth="1"/>
    <col min="3" max="3" width="13.42578125" customWidth="1"/>
    <col min="5" max="5" width="6" customWidth="1"/>
    <col min="6" max="6" width="20.85546875" customWidth="1"/>
    <col min="7" max="7" width="15.42578125" customWidth="1"/>
  </cols>
  <sheetData>
    <row r="2" spans="2:6" ht="15.75" thickBot="1" x14ac:dyDescent="0.3"/>
    <row r="3" spans="2:6" ht="18" thickBot="1" x14ac:dyDescent="0.3">
      <c r="B3" s="21" t="s">
        <v>8</v>
      </c>
      <c r="C3" s="22" t="s">
        <v>9</v>
      </c>
      <c r="D3" s="5"/>
      <c r="E3" s="23" t="s">
        <v>10</v>
      </c>
      <c r="F3" s="5"/>
    </row>
    <row r="4" spans="2:6" x14ac:dyDescent="0.25">
      <c r="B4" s="24">
        <v>6</v>
      </c>
      <c r="C4" s="25">
        <f>CEILING(3.14*B4^2/4,1)</f>
        <v>29</v>
      </c>
      <c r="D4" s="5"/>
      <c r="E4" s="5" t="s">
        <v>11</v>
      </c>
      <c r="F4" s="5" t="s">
        <v>17</v>
      </c>
    </row>
    <row r="5" spans="2:6" x14ac:dyDescent="0.25">
      <c r="B5" s="26">
        <v>8</v>
      </c>
      <c r="C5" s="27">
        <f t="shared" ref="C5:C14" si="0">CEILING(3.14*B5^2/4,1)</f>
        <v>51</v>
      </c>
      <c r="D5" s="5"/>
      <c r="E5" s="5" t="s">
        <v>12</v>
      </c>
      <c r="F5" s="5" t="s">
        <v>18</v>
      </c>
    </row>
    <row r="6" spans="2:6" x14ac:dyDescent="0.25">
      <c r="B6" s="26">
        <v>10</v>
      </c>
      <c r="C6" s="27">
        <f t="shared" si="0"/>
        <v>79</v>
      </c>
      <c r="D6" s="5"/>
      <c r="E6" s="5"/>
      <c r="F6" s="5"/>
    </row>
    <row r="7" spans="2:6" x14ac:dyDescent="0.25">
      <c r="B7" s="26">
        <v>12</v>
      </c>
      <c r="C7" s="27">
        <f t="shared" si="0"/>
        <v>114</v>
      </c>
      <c r="D7" s="5"/>
      <c r="E7" s="5" t="s">
        <v>94</v>
      </c>
      <c r="F7" s="5"/>
    </row>
    <row r="8" spans="2:6" x14ac:dyDescent="0.25">
      <c r="B8" s="26">
        <v>14</v>
      </c>
      <c r="C8" s="27">
        <f t="shared" si="0"/>
        <v>154</v>
      </c>
      <c r="D8" s="5"/>
      <c r="E8" s="5" t="s">
        <v>95</v>
      </c>
      <c r="F8" s="5"/>
    </row>
    <row r="9" spans="2:6" x14ac:dyDescent="0.25">
      <c r="B9" s="26">
        <v>16</v>
      </c>
      <c r="C9" s="27">
        <f t="shared" si="0"/>
        <v>201</v>
      </c>
      <c r="D9" s="5"/>
      <c r="E9" s="5"/>
      <c r="F9" s="5"/>
    </row>
    <row r="10" spans="2:6" x14ac:dyDescent="0.25">
      <c r="B10" s="26">
        <v>18</v>
      </c>
      <c r="C10" s="27">
        <f t="shared" si="0"/>
        <v>255</v>
      </c>
      <c r="D10" s="5"/>
      <c r="E10" s="55" t="s">
        <v>96</v>
      </c>
      <c r="F10" s="5"/>
    </row>
    <row r="11" spans="2:6" x14ac:dyDescent="0.25">
      <c r="B11" s="26">
        <v>20</v>
      </c>
      <c r="C11" s="27">
        <f t="shared" si="0"/>
        <v>314</v>
      </c>
      <c r="D11" s="5"/>
      <c r="E11" s="55" t="s">
        <v>64</v>
      </c>
      <c r="F11" s="5"/>
    </row>
    <row r="12" spans="2:6" x14ac:dyDescent="0.25">
      <c r="B12" s="26">
        <v>22</v>
      </c>
      <c r="C12" s="27">
        <f t="shared" si="0"/>
        <v>380</v>
      </c>
      <c r="D12" s="5"/>
      <c r="E12" s="5"/>
      <c r="F12" s="5"/>
    </row>
    <row r="13" spans="2:6" x14ac:dyDescent="0.25">
      <c r="B13" s="26">
        <v>25</v>
      </c>
      <c r="C13" s="27">
        <f t="shared" si="0"/>
        <v>491</v>
      </c>
      <c r="D13" s="5"/>
      <c r="E13" s="5"/>
      <c r="F13" s="5"/>
    </row>
    <row r="14" spans="2:6" ht="15.75" thickBot="1" x14ac:dyDescent="0.3">
      <c r="B14" s="28">
        <v>32</v>
      </c>
      <c r="C14" s="29">
        <f t="shared" si="0"/>
        <v>804</v>
      </c>
      <c r="D14" s="5"/>
      <c r="E14" s="5"/>
      <c r="F14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16" sqref="H16"/>
    </sheetView>
  </sheetViews>
  <sheetFormatPr defaultRowHeight="15" x14ac:dyDescent="0.25"/>
  <cols>
    <col min="1" max="1" width="6.7109375" customWidth="1"/>
    <col min="2" max="2" width="10" bestFit="1" customWidth="1"/>
  </cols>
  <sheetData>
    <row r="1" spans="1:2" x14ac:dyDescent="0.25">
      <c r="A1" s="56" t="s">
        <v>68</v>
      </c>
    </row>
    <row r="2" spans="1:2" x14ac:dyDescent="0.25">
      <c r="A2" t="s">
        <v>69</v>
      </c>
      <c r="B2" s="57">
        <v>41949</v>
      </c>
    </row>
    <row r="3" spans="1:2" x14ac:dyDescent="0.25">
      <c r="A3" s="58" t="s">
        <v>75</v>
      </c>
      <c r="B3" t="s">
        <v>76</v>
      </c>
    </row>
    <row r="4" spans="1:2" x14ac:dyDescent="0.25">
      <c r="A4" s="58"/>
      <c r="B4" t="s">
        <v>70</v>
      </c>
    </row>
    <row r="5" spans="1:2" x14ac:dyDescent="0.25">
      <c r="A5" s="58" t="s">
        <v>77</v>
      </c>
      <c r="B5" t="s">
        <v>78</v>
      </c>
    </row>
    <row r="6" spans="1:2" x14ac:dyDescent="0.25">
      <c r="A6" s="58" t="s">
        <v>83</v>
      </c>
      <c r="B6" t="s">
        <v>84</v>
      </c>
    </row>
    <row r="7" spans="1:2" ht="15" customHeight="1" x14ac:dyDescent="0.25">
      <c r="A7" s="58" t="s">
        <v>105</v>
      </c>
      <c r="B7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3"/>
  <sheetViews>
    <sheetView topLeftCell="A22" workbookViewId="0">
      <selection activeCell="D15" sqref="D15"/>
    </sheetView>
  </sheetViews>
  <sheetFormatPr defaultRowHeight="15" x14ac:dyDescent="0.25"/>
  <sheetData>
    <row r="3" spans="1:8" x14ac:dyDescent="0.25">
      <c r="A3" t="s">
        <v>112</v>
      </c>
      <c r="E3" t="s">
        <v>113</v>
      </c>
      <c r="F3">
        <v>203</v>
      </c>
      <c r="G3" t="s">
        <v>0</v>
      </c>
    </row>
    <row r="4" spans="1:8" x14ac:dyDescent="0.25">
      <c r="A4" t="s">
        <v>114</v>
      </c>
      <c r="E4" t="s">
        <v>113</v>
      </c>
      <c r="F4">
        <v>2.1</v>
      </c>
      <c r="G4" t="s">
        <v>115</v>
      </c>
    </row>
    <row r="5" spans="1:8" x14ac:dyDescent="0.25">
      <c r="A5" t="s">
        <v>116</v>
      </c>
      <c r="E5" t="s">
        <v>113</v>
      </c>
      <c r="F5">
        <v>1.82</v>
      </c>
      <c r="G5" t="s">
        <v>115</v>
      </c>
    </row>
    <row r="7" spans="1:8" x14ac:dyDescent="0.25">
      <c r="A7" s="99" t="s">
        <v>117</v>
      </c>
      <c r="B7" s="100"/>
      <c r="C7" s="100"/>
      <c r="D7" s="100"/>
    </row>
    <row r="8" spans="1:8" x14ac:dyDescent="0.25">
      <c r="A8" t="s">
        <v>118</v>
      </c>
      <c r="E8" t="s">
        <v>113</v>
      </c>
      <c r="F8">
        <v>7438</v>
      </c>
      <c r="G8" t="s">
        <v>119</v>
      </c>
    </row>
    <row r="9" spans="1:8" x14ac:dyDescent="0.25">
      <c r="A9" t="s">
        <v>120</v>
      </c>
      <c r="E9" t="s">
        <v>113</v>
      </c>
      <c r="F9">
        <v>16</v>
      </c>
      <c r="G9" t="s">
        <v>121</v>
      </c>
      <c r="H9" s="101"/>
    </row>
    <row r="10" spans="1:8" x14ac:dyDescent="0.25">
      <c r="A10" t="s">
        <v>122</v>
      </c>
      <c r="E10" t="s">
        <v>113</v>
      </c>
      <c r="F10">
        <f>0.785*F9^2</f>
        <v>200.96</v>
      </c>
      <c r="G10" t="s">
        <v>119</v>
      </c>
      <c r="H10" s="101"/>
    </row>
    <row r="11" spans="1:8" x14ac:dyDescent="0.25">
      <c r="A11" t="s">
        <v>123</v>
      </c>
      <c r="E11" t="s">
        <v>113</v>
      </c>
      <c r="F11">
        <f>F10*1000*F4*2/F8</f>
        <v>113.47566550147889</v>
      </c>
      <c r="G11" t="s">
        <v>0</v>
      </c>
    </row>
    <row r="12" spans="1:8" x14ac:dyDescent="0.25">
      <c r="A12" t="s">
        <v>124</v>
      </c>
      <c r="E12" t="s">
        <v>113</v>
      </c>
      <c r="F12">
        <f>ROUNDDOWN(F11/25,0)*25</f>
        <v>100</v>
      </c>
      <c r="G12" t="s">
        <v>0</v>
      </c>
    </row>
    <row r="13" spans="1:8" x14ac:dyDescent="0.25">
      <c r="A13" t="s">
        <v>125</v>
      </c>
      <c r="E13" t="s">
        <v>113</v>
      </c>
      <c r="F13">
        <v>110</v>
      </c>
      <c r="G13" t="s">
        <v>0</v>
      </c>
    </row>
    <row r="14" spans="1:8" x14ac:dyDescent="0.25">
      <c r="A14" t="s">
        <v>126</v>
      </c>
      <c r="E14" t="s">
        <v>113</v>
      </c>
      <c r="F14">
        <v>2.5000000000000001E-3</v>
      </c>
    </row>
    <row r="15" spans="1:8" x14ac:dyDescent="0.25">
      <c r="A15" t="s">
        <v>127</v>
      </c>
      <c r="E15" t="s">
        <v>113</v>
      </c>
      <c r="F15">
        <f>2*F10/(F3*F13)</f>
        <v>1.799910434393193E-2</v>
      </c>
      <c r="H15" s="100" t="str">
        <f>IF(F14&lt;F15,"Hence OK","Not OK")</f>
        <v>Hence OK</v>
      </c>
    </row>
    <row r="16" spans="1:8" x14ac:dyDescent="0.25">
      <c r="A16" t="s">
        <v>128</v>
      </c>
      <c r="E16" t="s">
        <v>113</v>
      </c>
      <c r="F16">
        <f>F3*3</f>
        <v>609</v>
      </c>
      <c r="G16" t="s">
        <v>0</v>
      </c>
    </row>
    <row r="17" spans="1:8" x14ac:dyDescent="0.25">
      <c r="E17" t="s">
        <v>113</v>
      </c>
      <c r="F17">
        <f>18*25</f>
        <v>450</v>
      </c>
      <c r="G17" t="s">
        <v>0</v>
      </c>
    </row>
    <row r="18" spans="1:8" x14ac:dyDescent="0.25">
      <c r="E18" t="s">
        <v>113</v>
      </c>
      <c r="F18">
        <f>F4*1000/3</f>
        <v>700</v>
      </c>
      <c r="G18" t="s">
        <v>0</v>
      </c>
    </row>
    <row r="19" spans="1:8" x14ac:dyDescent="0.25">
      <c r="A19" t="s">
        <v>129</v>
      </c>
      <c r="E19" t="s">
        <v>113</v>
      </c>
      <c r="F19">
        <f>MIN(F16:F18)</f>
        <v>450</v>
      </c>
      <c r="G19" t="s">
        <v>0</v>
      </c>
    </row>
    <row r="21" spans="1:8" x14ac:dyDescent="0.25">
      <c r="E21" t="s">
        <v>113</v>
      </c>
    </row>
    <row r="22" spans="1:8" x14ac:dyDescent="0.25">
      <c r="A22" t="s">
        <v>130</v>
      </c>
      <c r="E22" t="s">
        <v>113</v>
      </c>
      <c r="F22">
        <v>980</v>
      </c>
      <c r="G22" t="s">
        <v>119</v>
      </c>
    </row>
    <row r="23" spans="1:8" x14ac:dyDescent="0.25">
      <c r="A23" t="s">
        <v>120</v>
      </c>
      <c r="E23" t="s">
        <v>113</v>
      </c>
      <c r="F23">
        <v>10</v>
      </c>
      <c r="G23" t="s">
        <v>121</v>
      </c>
      <c r="H23" s="101"/>
    </row>
    <row r="24" spans="1:8" x14ac:dyDescent="0.25">
      <c r="A24" t="s">
        <v>122</v>
      </c>
      <c r="E24" t="s">
        <v>113</v>
      </c>
      <c r="F24">
        <f>0.785*F23^2</f>
        <v>78.5</v>
      </c>
      <c r="G24" t="s">
        <v>119</v>
      </c>
      <c r="H24" s="101"/>
    </row>
    <row r="25" spans="1:8" x14ac:dyDescent="0.25">
      <c r="A25" t="s">
        <v>123</v>
      </c>
      <c r="E25" t="s">
        <v>113</v>
      </c>
      <c r="F25">
        <f>F24*2*1000/F22</f>
        <v>160.20408163265307</v>
      </c>
      <c r="G25" t="s">
        <v>0</v>
      </c>
    </row>
    <row r="26" spans="1:8" x14ac:dyDescent="0.25">
      <c r="A26" t="s">
        <v>124</v>
      </c>
      <c r="E26" t="s">
        <v>113</v>
      </c>
      <c r="F26">
        <f>ROUNDDOWN(F25/25,0)*25</f>
        <v>150</v>
      </c>
      <c r="G26" t="s">
        <v>0</v>
      </c>
    </row>
    <row r="27" spans="1:8" x14ac:dyDescent="0.25">
      <c r="A27" t="s">
        <v>125</v>
      </c>
      <c r="E27" t="s">
        <v>113</v>
      </c>
      <c r="F27">
        <v>150</v>
      </c>
      <c r="G27" t="s">
        <v>0</v>
      </c>
    </row>
    <row r="28" spans="1:8" x14ac:dyDescent="0.25">
      <c r="A28" t="s">
        <v>126</v>
      </c>
      <c r="E28" t="s">
        <v>113</v>
      </c>
      <c r="F28">
        <v>2.5000000000000001E-3</v>
      </c>
    </row>
    <row r="29" spans="1:8" x14ac:dyDescent="0.25">
      <c r="A29" t="s">
        <v>131</v>
      </c>
      <c r="E29" t="s">
        <v>113</v>
      </c>
      <c r="F29">
        <f>2*F24/(F3*F27)</f>
        <v>5.1559934318555012E-3</v>
      </c>
      <c r="H29" s="100" t="str">
        <f>IF(F28&lt;F29,"Hence OK","Not OK")</f>
        <v>Hence OK</v>
      </c>
    </row>
    <row r="30" spans="1:8" x14ac:dyDescent="0.25">
      <c r="A30" t="s">
        <v>128</v>
      </c>
      <c r="E30" t="s">
        <v>113</v>
      </c>
      <c r="F30">
        <f>F17*3</f>
        <v>1350</v>
      </c>
      <c r="G30" t="s">
        <v>0</v>
      </c>
    </row>
    <row r="31" spans="1:8" x14ac:dyDescent="0.25">
      <c r="E31" t="s">
        <v>113</v>
      </c>
      <c r="F31">
        <f>18*25</f>
        <v>450</v>
      </c>
      <c r="G31" t="s">
        <v>0</v>
      </c>
    </row>
    <row r="32" spans="1:8" x14ac:dyDescent="0.25">
      <c r="E32" t="s">
        <v>113</v>
      </c>
      <c r="F32">
        <f>F18*1000/3</f>
        <v>233333.33333333334</v>
      </c>
      <c r="G32" t="s">
        <v>0</v>
      </c>
    </row>
    <row r="33" spans="1:7" x14ac:dyDescent="0.25">
      <c r="A33" t="s">
        <v>129</v>
      </c>
      <c r="E33" t="s">
        <v>113</v>
      </c>
      <c r="F33">
        <f>MIN(F30:F32)</f>
        <v>450</v>
      </c>
      <c r="G33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53</vt:i4>
      </vt:variant>
    </vt:vector>
  </HeadingPairs>
  <TitlesOfParts>
    <vt:vector size="59" baseType="lpstr">
      <vt:lpstr>Punching in Slab</vt:lpstr>
      <vt:lpstr>Drop Panel Calculation</vt:lpstr>
      <vt:lpstr>Slab Design</vt:lpstr>
      <vt:lpstr>Rebar Data</vt:lpstr>
      <vt:lpstr>Revision</vt:lpstr>
      <vt:lpstr>shear wall</vt:lpstr>
      <vt:lpstr>Av</vt:lpstr>
      <vt:lpstr>b_1</vt:lpstr>
      <vt:lpstr>b_2</vt:lpstr>
      <vt:lpstr>bo</vt:lpstr>
      <vt:lpstr>bo_calc</vt:lpstr>
      <vt:lpstr>bo_substracted</vt:lpstr>
      <vt:lpstr>C_1</vt:lpstr>
      <vt:lpstr>C_2</vt:lpstr>
      <vt:lpstr>Case</vt:lpstr>
      <vt:lpstr>ColumnLocation</vt:lpstr>
      <vt:lpstr>Cover</vt:lpstr>
      <vt:lpstr>'Punching in Slab'!d</vt:lpstr>
      <vt:lpstr>DIA</vt:lpstr>
      <vt:lpstr>dp</vt:lpstr>
      <vt:lpstr>e</vt:lpstr>
      <vt:lpstr>EGCASE</vt:lpstr>
      <vt:lpstr>'Punching in Slab'!fc</vt:lpstr>
      <vt:lpstr>fdytruytui</vt:lpstr>
      <vt:lpstr>'Punching in Slab'!fy</vt:lpstr>
      <vt:lpstr>fyt</vt:lpstr>
      <vt:lpstr>gdfg</vt:lpstr>
      <vt:lpstr>J_C_1</vt:lpstr>
      <vt:lpstr>J_C_2</vt:lpstr>
      <vt:lpstr>Mu_1</vt:lpstr>
      <vt:lpstr>Mu_2</vt:lpstr>
      <vt:lpstr>nst</vt:lpstr>
      <vt:lpstr>open_exist</vt:lpstr>
      <vt:lpstr>open_option</vt:lpstr>
      <vt:lpstr>'Punching in Slab'!Print_Area</vt:lpstr>
      <vt:lpstr>'Punching in Slab'!Print_Titles</vt:lpstr>
      <vt:lpstr>Rebar_Table</vt:lpstr>
      <vt:lpstr>S_max</vt:lpstr>
      <vt:lpstr>Sst</vt:lpstr>
      <vt:lpstr>t</vt:lpstr>
      <vt:lpstr>Table_col_location</vt:lpstr>
      <vt:lpstr>Table_External</vt:lpstr>
      <vt:lpstr>Table_Y_N</vt:lpstr>
      <vt:lpstr>uipouipoip</vt:lpstr>
      <vt:lpstr>uiuyiouoo</vt:lpstr>
      <vt:lpstr>v_u</vt:lpstr>
      <vt:lpstr>vs</vt:lpstr>
      <vt:lpstr>vs_max</vt:lpstr>
      <vt:lpstr>'Punching in Slab'!Vu</vt:lpstr>
      <vt:lpstr>vucalc</vt:lpstr>
      <vt:lpstr>αs</vt:lpstr>
      <vt:lpstr>ᵦ</vt:lpstr>
      <vt:lpstr>γf_1</vt:lpstr>
      <vt:lpstr>γf2</vt:lpstr>
      <vt:lpstr>γv_1</vt:lpstr>
      <vt:lpstr>γv2</vt:lpstr>
      <vt:lpstr>Φshear</vt:lpstr>
      <vt:lpstr>ΦVc</vt:lpstr>
      <vt:lpstr>Φvn_max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AbuShadi</dc:creator>
  <cp:lastModifiedBy>User</cp:lastModifiedBy>
  <cp:lastPrinted>2014-11-08T14:54:35Z</cp:lastPrinted>
  <dcterms:created xsi:type="dcterms:W3CDTF">2010-05-16T07:08:09Z</dcterms:created>
  <dcterms:modified xsi:type="dcterms:W3CDTF">2021-12-20T20:14:20Z</dcterms:modified>
</cp:coreProperties>
</file>