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<sst xmlns="http://schemas.openxmlformats.org/spreadsheetml/2006/main" count="95" uniqueCount="93">
  <si>
    <t>Variables</t>
  </si>
  <si>
    <t>Number</t>
  </si>
  <si>
    <t>Pressure losses</t>
  </si>
  <si>
    <t>Load capacity, P, from table 13.2 (MPa)</t>
  </si>
  <si>
    <t>Max RPM</t>
  </si>
  <si>
    <t>Min RPM</t>
  </si>
  <si>
    <t>Max rev/s</t>
  </si>
  <si>
    <t>Min rev/s</t>
  </si>
  <si>
    <t>Length (mm)</t>
  </si>
  <si>
    <t>Diameter of bearing (mm)</t>
  </si>
  <si>
    <t>Average film temperature (C)</t>
  </si>
  <si>
    <t>Viscocity of Oil (mPa*s) @90 degC</t>
  </si>
  <si>
    <t>Journal diameter (mm)</t>
  </si>
  <si>
    <t>Journal Length (mm)</t>
  </si>
  <si>
    <t>Wall thicknes</t>
  </si>
  <si>
    <t>COST?</t>
  </si>
  <si>
    <t>Crankshaft Main Bearings</t>
  </si>
  <si>
    <t>Change in height (mm)</t>
  </si>
  <si>
    <t>R(mm)</t>
  </si>
  <si>
    <t>c(mm)</t>
  </si>
  <si>
    <t>Coeff of friction variable (from 13.14)</t>
  </si>
  <si>
    <t xml:space="preserve">friction factor </t>
  </si>
  <si>
    <t>L(mm)</t>
  </si>
  <si>
    <t>D(mm)</t>
  </si>
  <si>
    <t>V(mm/s)</t>
  </si>
  <si>
    <t>density (g/mm^3) (of 10W-40 at 90 degrees C)</t>
  </si>
  <si>
    <t>g(mm/s^2)</t>
  </si>
  <si>
    <t>K</t>
  </si>
  <si>
    <t>h_height (kPa)</t>
  </si>
  <si>
    <t>h_major (kPa)</t>
  </si>
  <si>
    <t>h_friction,minor (kPa)</t>
  </si>
  <si>
    <t>h_m * density * g (kPa)</t>
  </si>
  <si>
    <t>h_f * density * g (kPa)</t>
  </si>
  <si>
    <t>Single total (kPa)</t>
  </si>
  <si>
    <t>Total(kPa)</t>
  </si>
  <si>
    <t>Main Crankshaft bearing</t>
  </si>
  <si>
    <t>https://wiki.anton-paar.com/en/engine-oil/</t>
  </si>
  <si>
    <t>Connecting Rod -Crank Pin Bearings</t>
  </si>
  <si>
    <t>Connecting rod piston pin bearings</t>
  </si>
  <si>
    <t>Camshaft Bearings</t>
  </si>
  <si>
    <t>Con-Crankpin bearing</t>
  </si>
  <si>
    <t>Bearing characteristics</t>
  </si>
  <si>
    <t>ConRod-Piston Pin Bearing</t>
  </si>
  <si>
    <t>ConRod-Crank Bearing</t>
  </si>
  <si>
    <t>Crankshaft Main Bearing</t>
  </si>
  <si>
    <t>Camshaft Bearing</t>
  </si>
  <si>
    <t>Charts:</t>
  </si>
  <si>
    <t>.17 (pressure)</t>
  </si>
  <si>
    <t>.17(termination)</t>
  </si>
  <si>
    <t>h0_min</t>
  </si>
  <si>
    <t>Con-piston pin bearing</t>
  </si>
  <si>
    <t>Cam bearing</t>
  </si>
  <si>
    <t>main</t>
  </si>
  <si>
    <t>c (mm)</t>
  </si>
  <si>
    <t>crank pin</t>
  </si>
  <si>
    <t>h0/c</t>
  </si>
  <si>
    <t>Valve Lifters</t>
  </si>
  <si>
    <t>piston pin</t>
  </si>
  <si>
    <t>TOTAL PRESSURE LOSS (kPa)</t>
  </si>
  <si>
    <t>c/R</t>
  </si>
  <si>
    <t>Typical engine pressure every 1000 RPM (kPa)</t>
  </si>
  <si>
    <t>L/D</t>
  </si>
  <si>
    <t>Required Pumping Pressure (kPa)</t>
  </si>
  <si>
    <t>camshaft</t>
  </si>
  <si>
    <t>S, chart 13.13</t>
  </si>
  <si>
    <t>Coefficient of friction, chart 13.14</t>
  </si>
  <si>
    <t>Max film pressure, chart 13.15</t>
  </si>
  <si>
    <t>Position of minimum film thickness, chart 13.16 (degrees)</t>
  </si>
  <si>
    <t>Position of maximum film thickness, chart 13.17 (degrees)</t>
  </si>
  <si>
    <t>Position of film termination, chart 13.17 (degrees)</t>
  </si>
  <si>
    <t>Flow variable, chart 13.18</t>
  </si>
  <si>
    <t>Side leakage/total flow ratio, chart 13.19</t>
  </si>
  <si>
    <t>Drilling</t>
  </si>
  <si>
    <t>Flow</t>
  </si>
  <si>
    <t>Flow rate, Q (cm^3/sec)</t>
  </si>
  <si>
    <t>Crankshaft</t>
  </si>
  <si>
    <t>Flow rate, Q (L/min)</t>
  </si>
  <si>
    <t>Camshaft</t>
  </si>
  <si>
    <t>Side leakage rate, Qs (L/min)</t>
  </si>
  <si>
    <t>Lifters</t>
  </si>
  <si>
    <t>Total bearing leakage (L/min)</t>
  </si>
  <si>
    <t>TOTAL ENGINE BEARING FLOW RATE REQURED (L/min)</t>
  </si>
  <si>
    <t>c/r ~= .001 (p 574)</t>
  </si>
  <si>
    <t>Valve Lifter Flow Rate Estimate (L/min)</t>
  </si>
  <si>
    <t>viscous shear force calculations</t>
  </si>
  <si>
    <t>OVERALL ENGINE OIL FLOW RATE (L/min)</t>
  </si>
  <si>
    <t>http://edge.rit.edu/edge/P14453/public/Research/2-_LEADER_-_Understanding_Journal_Bearings.pdf</t>
  </si>
  <si>
    <t>Q (L/min)</t>
  </si>
  <si>
    <t>Q (\mm^3/s)</t>
  </si>
  <si>
    <t>V (mm/s)</t>
  </si>
  <si>
    <t>A (mm^2)</t>
  </si>
  <si>
    <t>V (m/s)</t>
  </si>
  <si>
    <t>D 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</si>
</sst>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0"/>
    <numFmt numFmtId="165" formatCode="0.0000000000"/>
  </numFmts>
  <fonts count="14">
    <font>
      <sz val="10.0"/>
      <color rgb="FF000000"/>
      <name val="Arial"/>
    </font>
    <font/>
    <font>
      <b/>
      <i/>
      <sz val="12.0"/>
    </font>
    <font>
      <b/>
      <sz val="12.0"/>
    </font>
    <font>
      <b/>
    </font>
    <font>
      <u/>
      <color rgb="FF0000FF"/>
    </font>
    <font>
      <sz val="11.0"/>
      <color rgb="FF000000"/>
      <name val="Inconsolata"/>
    </font>
    <font>
      <color rgb="FF000000"/>
    </font>
    <font>
      <b/>
      <sz val="18.0"/>
      <color rgb="FF000000"/>
    </font>
    <font>
      <sz val="10.0"/>
      <color rgb="FF000000"/>
    </font>
    <font>
      <b/>
      <sz val="18.0"/>
      <color rgb="FFFF0000"/>
    </font>
    <font>
      <b/>
      <sz val="14.0"/>
    </font>
    <font>
      <b/>
      <sz val="18.0"/>
    </font>
    <font>
      <b/>
      <sz val="24.0"/>
      <color rgb="FFFF0000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vertical="center" wrapText="1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/>
    </xf>
    <xf borderId="0" fillId="0" fontId="4" numFmtId="0" xfId="0" applyAlignment="1" applyFont="1">
      <alignment horizontal="center" readingOrder="0" shrinkToFit="0" vertical="center" wrapText="1"/>
    </xf>
    <xf borderId="0" fillId="3" fontId="4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0" fillId="3" fontId="1" numFmtId="0" xfId="0" applyAlignment="1" applyFont="1">
      <alignment horizontal="center" readingOrder="0" shrinkToFit="0" vertical="center" wrapText="1"/>
    </xf>
    <xf borderId="0" fillId="2" fontId="6" numFmtId="0" xfId="0" applyFont="1"/>
    <xf borderId="0" fillId="4" fontId="1" numFmtId="0" xfId="0" applyAlignment="1" applyFill="1" applyFont="1">
      <alignment shrinkToFit="0" wrapText="1"/>
    </xf>
    <xf borderId="0" fillId="3" fontId="1" numFmtId="2" xfId="0" applyAlignment="1" applyFont="1" applyNumberFormat="1">
      <alignment horizontal="center" shrinkToFit="0" vertical="center" wrapText="1"/>
    </xf>
    <xf borderId="0" fillId="4" fontId="1" numFmtId="0" xfId="0" applyAlignment="1" applyFont="1">
      <alignment readingOrder="0" shrinkToFit="0" wrapText="1"/>
    </xf>
    <xf borderId="0" fillId="0" fontId="1" numFmtId="2" xfId="0" applyAlignment="1" applyFont="1" applyNumberFormat="1">
      <alignment horizontal="center" shrinkToFit="0" vertical="center" wrapText="1"/>
    </xf>
    <xf borderId="0" fillId="4" fontId="7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3" fontId="1" numFmtId="164" xfId="0" applyAlignment="1" applyFont="1" applyNumberFormat="1">
      <alignment horizontal="center" shrinkToFit="0" vertical="center" wrapText="1"/>
    </xf>
    <xf borderId="0" fillId="0" fontId="1" numFmtId="165" xfId="0" applyAlignment="1" applyFont="1" applyNumberFormat="1">
      <alignment horizontal="center" shrinkToFit="0" vertical="center" wrapText="1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1" numFmtId="2" xfId="0" applyAlignment="1" applyFont="1" applyNumberFormat="1">
      <alignment horizontal="center" readingOrder="0" shrinkToFit="0" vertical="center" wrapText="1"/>
    </xf>
    <xf borderId="0" fillId="2" fontId="6" numFmtId="0" xfId="0" applyAlignment="1" applyFont="1">
      <alignment readingOrder="0"/>
    </xf>
    <xf borderId="0" fillId="0" fontId="1" numFmtId="2" xfId="0" applyFont="1" applyNumberFormat="1"/>
    <xf borderId="0" fillId="0" fontId="11" numFmtId="0" xfId="0" applyAlignment="1" applyFont="1">
      <alignment readingOrder="0" shrinkToFit="0" wrapText="1"/>
    </xf>
    <xf borderId="0" fillId="0" fontId="4" numFmtId="2" xfId="0" applyAlignment="1" applyFont="1" applyNumberFormat="1">
      <alignment horizontal="center" readingOrder="0" shrinkToFit="0" vertical="center" wrapText="1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3" numFmtId="2" xfId="0" applyAlignment="1" applyFont="1" applyNumberFormat="1">
      <alignment horizontal="left" readingOrder="0"/>
    </xf>
    <xf borderId="0" fillId="0" fontId="11" numFmtId="0" xfId="0" applyAlignment="1" applyFont="1">
      <alignment readingOrder="0"/>
    </xf>
    <xf borderId="0" fillId="5" fontId="7" numFmtId="2" xfId="0" applyFill="1" applyFont="1" applyNumberFormat="1"/>
    <xf borderId="0" fillId="5" fontId="7" numFmtId="0" xfId="0" applyFont="1"/>
    <xf borderId="0" fillId="5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Oil Velocity vs. Oil Channel Diameter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Sheet3!$H$2:$H$41</c:f>
            </c:strRef>
          </c:cat>
          <c:val>
            <c:numRef>
              <c:f>Sheet3!$G$2:$G$41</c:f>
            </c:numRef>
          </c:val>
          <c:smooth val="0"/>
        </c:ser>
        <c:axId val="212579680"/>
        <c:axId val="34565358"/>
      </c:lineChart>
      <c:catAx>
        <c:axId val="212579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Oil Channel Diameter (mm)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34565358"/>
      </c:catAx>
      <c:valAx>
        <c:axId val="345653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Oil Velocity (m/s)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12579680"/>
      </c:valAx>
    </c:plotArea>
    <c:legend>
      <c:legendPos val="r"/>
      <c:overlay val="0"/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390525</xdr:colOff>
      <xdr:row>1</xdr:row>
      <xdr:rowOff>19050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iki.anton-paar.com/en/engine-oil/" TargetMode="External"/><Relationship Id="rId2" Type="http://schemas.openxmlformats.org/officeDocument/2006/relationships/hyperlink" Target="http://edge.rit.edu/edge/P14453/public/Research/2-_LEADER_-_Understanding_Journal_Bearings.pdf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  <col customWidth="1" min="10" max="10" width="27.43"/>
  </cols>
  <sheetData>
    <row r="1">
      <c r="B1" s="2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</row>
    <row r="2">
      <c r="B2" s="2" t="s">
        <v>16</v>
      </c>
      <c r="C2" s="3">
        <v>3.0</v>
      </c>
      <c r="D2" s="3">
        <v>5.0</v>
      </c>
      <c r="E2" s="3">
        <v>5641.0</v>
      </c>
      <c r="F2" s="3">
        <v>800.0</v>
      </c>
      <c r="G2" s="3">
        <f t="shared" ref="G2:H2" si="1">E2/60</f>
        <v>94.01666667</v>
      </c>
      <c r="H2" s="3">
        <f t="shared" si="1"/>
        <v>13.33333333</v>
      </c>
      <c r="I2" s="3">
        <v>33.265125</v>
      </c>
      <c r="J2" s="3">
        <v>77.450625</v>
      </c>
      <c r="K2" s="9"/>
      <c r="L2" s="3">
        <v>15.093</v>
      </c>
      <c r="M2" s="3">
        <v>64.6938</v>
      </c>
      <c r="N2" s="3">
        <v>41.275</v>
      </c>
      <c r="O2">
        <f t="shared" ref="O2:O5" si="3">0.125*M2</f>
        <v>8.086725</v>
      </c>
      <c r="P2" s="5">
        <v>0.0</v>
      </c>
      <c r="Q2" s="10" t="s">
        <v>36</v>
      </c>
    </row>
    <row r="3">
      <c r="B3" s="2" t="s">
        <v>37</v>
      </c>
      <c r="C3" s="3">
        <v>3.0</v>
      </c>
      <c r="D3" s="3">
        <v>15.0</v>
      </c>
      <c r="E3" s="3">
        <v>5641.0</v>
      </c>
      <c r="F3" s="3">
        <v>800.0</v>
      </c>
      <c r="G3" s="3">
        <f t="shared" ref="G3:H3" si="2">E3/60</f>
        <v>94.01666667</v>
      </c>
      <c r="H3" s="3">
        <f t="shared" si="2"/>
        <v>13.33333333</v>
      </c>
      <c r="I3" s="3">
        <v>15.0</v>
      </c>
      <c r="J3" s="3">
        <f>M3+(2*D9)</f>
        <v>61.9925</v>
      </c>
      <c r="K3" s="9"/>
      <c r="L3" s="3">
        <v>15.093</v>
      </c>
      <c r="M3" s="3">
        <v>61.9125</v>
      </c>
      <c r="N3" s="3">
        <v>36.115625</v>
      </c>
      <c r="O3">
        <f t="shared" si="3"/>
        <v>7.7390625</v>
      </c>
      <c r="P3" s="8">
        <v>0.0</v>
      </c>
      <c r="Q3" s="1"/>
      <c r="R3" s="1"/>
      <c r="S3" s="1"/>
      <c r="T3" s="1"/>
    </row>
    <row r="4">
      <c r="B4" s="2" t="s">
        <v>38</v>
      </c>
      <c r="C4" s="3">
        <v>0.0</v>
      </c>
      <c r="D4" s="3">
        <v>15.0</v>
      </c>
      <c r="E4" s="3">
        <v>5641.0</v>
      </c>
      <c r="F4" s="3">
        <v>800.0</v>
      </c>
      <c r="G4" s="3">
        <f t="shared" ref="G4:I4" si="4">G3</f>
        <v>94.01666667</v>
      </c>
      <c r="H4" s="3">
        <f t="shared" si="4"/>
        <v>13.33333333</v>
      </c>
      <c r="I4" s="3">
        <f t="shared" si="4"/>
        <v>15</v>
      </c>
      <c r="J4" s="3">
        <f>M4+(2*C9)</f>
        <v>32.05</v>
      </c>
      <c r="K4" s="3"/>
      <c r="L4" s="3">
        <v>15.093</v>
      </c>
      <c r="M4" s="3">
        <v>32.0</v>
      </c>
      <c r="N4" s="3">
        <v>15.01</v>
      </c>
      <c r="O4">
        <f t="shared" si="3"/>
        <v>4</v>
      </c>
      <c r="P4" s="8">
        <v>0.0</v>
      </c>
      <c r="Q4" s="1"/>
      <c r="R4" s="1"/>
      <c r="S4" s="1"/>
      <c r="T4" s="1"/>
    </row>
    <row r="5">
      <c r="B5" s="2" t="s">
        <v>39</v>
      </c>
      <c r="C5" s="3">
        <v>4.0</v>
      </c>
      <c r="D5" s="3">
        <v>5.0</v>
      </c>
      <c r="E5" s="3">
        <v>5641.0</v>
      </c>
      <c r="F5" s="3">
        <v>800.0</v>
      </c>
      <c r="G5" s="3">
        <f t="shared" ref="G5:H5" si="5">G4</f>
        <v>94.01666667</v>
      </c>
      <c r="H5" s="3">
        <f t="shared" si="5"/>
        <v>13.33333333</v>
      </c>
      <c r="I5" s="3">
        <f>J5*F12</f>
        <v>12.725</v>
      </c>
      <c r="J5" s="3">
        <f>M5+(2*F9)</f>
        <v>25.45</v>
      </c>
      <c r="K5" s="3"/>
      <c r="L5" s="3">
        <v>15.093</v>
      </c>
      <c r="M5" s="3">
        <v>25.4</v>
      </c>
      <c r="N5" s="3">
        <v>15.01</v>
      </c>
      <c r="O5">
        <f t="shared" si="3"/>
        <v>3.175</v>
      </c>
      <c r="P5" s="8">
        <v>0.0</v>
      </c>
      <c r="Q5" s="1"/>
      <c r="R5" s="1"/>
      <c r="S5" s="1"/>
      <c r="T5" s="1"/>
    </row>
    <row r="7">
      <c r="B7" s="12" t="s">
        <v>41</v>
      </c>
      <c r="C7" s="13" t="s">
        <v>42</v>
      </c>
      <c r="D7" s="12" t="s">
        <v>43</v>
      </c>
      <c r="E7" s="12" t="s">
        <v>44</v>
      </c>
      <c r="F7" s="12" t="s">
        <v>45</v>
      </c>
      <c r="G7" s="9"/>
      <c r="H7" s="9" t="s">
        <v>43</v>
      </c>
      <c r="I7" s="9"/>
      <c r="J7" s="9"/>
      <c r="K7" s="9"/>
      <c r="L7" s="9"/>
      <c r="M7" s="12" t="s">
        <v>46</v>
      </c>
      <c r="N7" s="14">
        <v>13.13</v>
      </c>
      <c r="O7" s="14">
        <v>0.14</v>
      </c>
      <c r="P7" s="14">
        <v>0.15</v>
      </c>
      <c r="Q7" s="14">
        <v>0.16</v>
      </c>
      <c r="R7" s="14" t="s">
        <v>47</v>
      </c>
      <c r="S7" s="14" t="s">
        <v>48</v>
      </c>
      <c r="T7" s="14">
        <v>0.18</v>
      </c>
      <c r="U7" s="14">
        <v>0.19</v>
      </c>
    </row>
    <row r="8">
      <c r="B8" s="3" t="s">
        <v>49</v>
      </c>
      <c r="C8" s="15">
        <f>0.008+(0.00004*J4)</f>
        <v>0.009282</v>
      </c>
      <c r="D8" s="3">
        <f>0.008+(0.00004*J3)</f>
        <v>0.0104797</v>
      </c>
      <c r="E8" s="3">
        <f>0.008 + (0.00004*J2)</f>
        <v>0.011098025</v>
      </c>
      <c r="F8" s="16">
        <f>0.008 + (0.00004*J5)</f>
        <v>0.009018</v>
      </c>
      <c r="G8" s="9"/>
      <c r="H8" s="9">
        <f>0.008+(0.00004*J3)</f>
        <v>0.0104797</v>
      </c>
      <c r="I8" s="9"/>
      <c r="J8" s="9"/>
      <c r="K8" s="9"/>
      <c r="L8" s="9"/>
      <c r="M8" s="12" t="s">
        <v>52</v>
      </c>
      <c r="N8" s="5">
        <v>0.2</v>
      </c>
      <c r="O8" s="5">
        <v>5.65</v>
      </c>
      <c r="P8" s="5">
        <v>0.321</v>
      </c>
      <c r="Q8" s="5">
        <v>42.0</v>
      </c>
      <c r="R8" s="5">
        <v>17.0</v>
      </c>
      <c r="S8" s="5">
        <v>56.0</v>
      </c>
      <c r="T8" s="5">
        <v>5.1</v>
      </c>
      <c r="U8" s="5">
        <v>0.8</v>
      </c>
    </row>
    <row r="9">
      <c r="B9" s="3" t="s">
        <v>53</v>
      </c>
      <c r="C9" s="15">
        <v>0.025</v>
      </c>
      <c r="D9" s="3">
        <v>0.04</v>
      </c>
      <c r="E9" s="3">
        <v>0.025</v>
      </c>
      <c r="F9" s="3">
        <v>0.025</v>
      </c>
      <c r="G9" s="9"/>
      <c r="H9" s="9">
        <v>0.04</v>
      </c>
      <c r="I9" s="9"/>
      <c r="J9" s="9"/>
      <c r="K9" s="9"/>
      <c r="L9" s="9"/>
      <c r="M9" s="12" t="s">
        <v>54</v>
      </c>
      <c r="N9" s="5">
        <v>0.41</v>
      </c>
      <c r="O9" s="5">
        <v>7.0</v>
      </c>
      <c r="P9" s="5">
        <v>0.36</v>
      </c>
      <c r="T9" s="5">
        <v>5.4</v>
      </c>
      <c r="U9" s="5">
        <v>0.85</v>
      </c>
    </row>
    <row r="10">
      <c r="B10" s="3" t="s">
        <v>55</v>
      </c>
      <c r="C10" s="18">
        <f t="shared" ref="C10:F10" si="6">C8/C9</f>
        <v>0.37128</v>
      </c>
      <c r="D10" s="20">
        <f t="shared" si="6"/>
        <v>0.2619925</v>
      </c>
      <c r="E10" s="9">
        <f t="shared" si="6"/>
        <v>0.443921</v>
      </c>
      <c r="F10" s="9">
        <f t="shared" si="6"/>
        <v>0.36072</v>
      </c>
      <c r="G10" s="9"/>
      <c r="H10" s="9">
        <f>H8/H9</f>
        <v>0.2619925</v>
      </c>
      <c r="I10" s="9"/>
      <c r="J10" s="9"/>
      <c r="K10" s="9"/>
      <c r="L10" s="9"/>
      <c r="M10" s="12" t="s">
        <v>57</v>
      </c>
      <c r="N10" s="5">
        <v>0.27</v>
      </c>
      <c r="O10" s="5">
        <v>13.0</v>
      </c>
      <c r="P10" s="5">
        <v>0.35</v>
      </c>
      <c r="T10" s="5">
        <v>5.0</v>
      </c>
      <c r="U10" s="5">
        <v>0.75</v>
      </c>
    </row>
    <row r="11">
      <c r="B11" s="3" t="s">
        <v>59</v>
      </c>
      <c r="C11" s="23">
        <f>C9/J4</f>
        <v>0.0007800312012</v>
      </c>
      <c r="D11" s="24">
        <f>D9/J3</f>
        <v>0.0006452393435</v>
      </c>
      <c r="E11" s="9">
        <f>E9/(J2/2)</f>
        <v>0.0006455725825</v>
      </c>
      <c r="F11" s="9">
        <f>F9/(J5/2)</f>
        <v>0.001964636542</v>
      </c>
      <c r="G11" s="9"/>
      <c r="H11" s="9">
        <f>H9/J3</f>
        <v>0.0006452393435</v>
      </c>
      <c r="I11" s="9"/>
      <c r="J11" s="9"/>
      <c r="K11" s="9"/>
      <c r="L11" s="9"/>
      <c r="M11" s="12"/>
    </row>
    <row r="12">
      <c r="B12" s="3" t="s">
        <v>61</v>
      </c>
      <c r="C12" s="15">
        <f>I4/J4</f>
        <v>0.4680187207</v>
      </c>
      <c r="D12" s="27">
        <f>I3/J3</f>
        <v>0.2419647538</v>
      </c>
      <c r="E12" s="3">
        <v>0.5</v>
      </c>
      <c r="F12" s="3">
        <v>0.5</v>
      </c>
      <c r="G12" s="9"/>
      <c r="H12" s="9">
        <f>I3/J3</f>
        <v>0.2419647538</v>
      </c>
      <c r="I12" s="9"/>
      <c r="J12" s="9"/>
      <c r="K12" s="9"/>
      <c r="L12" s="9"/>
      <c r="M12" s="12" t="s">
        <v>63</v>
      </c>
      <c r="N12" s="5">
        <v>0.26</v>
      </c>
      <c r="O12" s="5">
        <v>7.0</v>
      </c>
      <c r="P12" s="5">
        <v>0.35</v>
      </c>
      <c r="Q12" s="5">
        <v>47.0</v>
      </c>
      <c r="R12" s="5">
        <v>17.5</v>
      </c>
      <c r="S12" s="5">
        <v>61.0</v>
      </c>
      <c r="T12" s="5">
        <v>4.95</v>
      </c>
      <c r="U12" s="5">
        <v>0.77</v>
      </c>
    </row>
    <row r="13">
      <c r="B13" s="3" t="s">
        <v>64</v>
      </c>
      <c r="C13" s="15">
        <v>0.27</v>
      </c>
      <c r="D13" s="3">
        <v>0.41</v>
      </c>
      <c r="E13" s="3">
        <v>0.2</v>
      </c>
      <c r="F13" s="3">
        <v>0.26</v>
      </c>
      <c r="G13" s="9"/>
      <c r="H13" s="3">
        <v>0.41</v>
      </c>
      <c r="I13" s="9"/>
      <c r="J13" s="9"/>
      <c r="K13" s="9"/>
      <c r="L13" s="9"/>
      <c r="M13" s="9"/>
    </row>
    <row r="14">
      <c r="B14" s="3" t="s">
        <v>65</v>
      </c>
      <c r="C14" s="15">
        <v>7.0</v>
      </c>
      <c r="D14" s="3">
        <v>13.0</v>
      </c>
      <c r="E14" s="3">
        <v>5.65</v>
      </c>
      <c r="F14" s="3">
        <v>7.0</v>
      </c>
      <c r="G14" s="9"/>
      <c r="H14" s="9">
        <v>13.0</v>
      </c>
      <c r="I14" s="9"/>
      <c r="J14" s="9"/>
      <c r="K14" s="9"/>
      <c r="L14" s="9"/>
      <c r="M14" s="9"/>
    </row>
    <row r="15">
      <c r="B15" s="3" t="s">
        <v>66</v>
      </c>
      <c r="C15" s="15">
        <f>D4/P10</f>
        <v>42.85714286</v>
      </c>
      <c r="D15" s="9">
        <f>D3/P9</f>
        <v>41.66666667</v>
      </c>
      <c r="E15" s="3">
        <f>D2/P8</f>
        <v>15.57632399</v>
      </c>
      <c r="F15" s="9">
        <f>D5/P12</f>
        <v>14.28571429</v>
      </c>
      <c r="G15" s="9"/>
      <c r="H15" s="9">
        <f>(D3/2)/P9</f>
        <v>20.83333333</v>
      </c>
      <c r="I15" s="9"/>
      <c r="J15" s="9"/>
      <c r="K15" s="9"/>
      <c r="L15" s="9"/>
      <c r="M15" s="9"/>
    </row>
    <row r="16">
      <c r="B16" s="3" t="s">
        <v>67</v>
      </c>
      <c r="C16" s="15">
        <f>0.008+(0.00004*J12)</f>
        <v>0.008</v>
      </c>
      <c r="D16" s="3">
        <v>35.0</v>
      </c>
      <c r="E16" s="3">
        <v>42.0</v>
      </c>
      <c r="F16" s="3">
        <v>47.0</v>
      </c>
      <c r="G16" s="9"/>
      <c r="H16" s="9">
        <v>35.0</v>
      </c>
      <c r="I16" s="9"/>
      <c r="J16" s="9"/>
      <c r="K16" s="9"/>
      <c r="L16" s="9"/>
      <c r="M16" s="9"/>
    </row>
    <row r="17">
      <c r="B17" s="3" t="s">
        <v>68</v>
      </c>
      <c r="C17" s="15">
        <v>1.025</v>
      </c>
      <c r="D17" s="3">
        <v>13.5</v>
      </c>
      <c r="E17" s="3">
        <v>17.0</v>
      </c>
      <c r="F17" s="3">
        <v>17.5</v>
      </c>
      <c r="G17" s="9"/>
      <c r="H17" s="9">
        <v>13.5</v>
      </c>
      <c r="I17" s="9"/>
      <c r="J17" s="9"/>
      <c r="K17" s="9"/>
      <c r="L17" s="9"/>
      <c r="M17" s="9"/>
    </row>
    <row r="18">
      <c r="B18" s="8" t="s">
        <v>69</v>
      </c>
      <c r="C18" s="18">
        <f>C16/C17</f>
        <v>0.007804878049</v>
      </c>
      <c r="D18" s="3">
        <v>45.0</v>
      </c>
      <c r="E18" s="3">
        <v>56.0</v>
      </c>
      <c r="F18" s="3">
        <v>61.0</v>
      </c>
      <c r="H18">
        <v>45.0</v>
      </c>
    </row>
    <row r="19">
      <c r="B19" s="8" t="s">
        <v>70</v>
      </c>
      <c r="C19" s="23" t="str">
        <f>C17/J12</f>
        <v>#DIV/0!</v>
      </c>
      <c r="D19" s="3">
        <v>5.4</v>
      </c>
      <c r="E19" s="3">
        <v>5.1</v>
      </c>
      <c r="F19" s="3">
        <v>4.95</v>
      </c>
      <c r="H19">
        <v>5.4</v>
      </c>
    </row>
    <row r="20">
      <c r="B20" s="8" t="s">
        <v>71</v>
      </c>
      <c r="C20" s="15" t="str">
        <f>I12/J12</f>
        <v>#DIV/0!</v>
      </c>
      <c r="D20" s="27">
        <v>0.85</v>
      </c>
      <c r="E20" s="3">
        <v>0.8</v>
      </c>
      <c r="F20" s="3">
        <v>0.77</v>
      </c>
      <c r="H20" s="28">
        <v>0.85</v>
      </c>
      <c r="J20" s="5" t="s">
        <v>72</v>
      </c>
      <c r="K20" s="5" t="s">
        <v>73</v>
      </c>
    </row>
    <row r="21">
      <c r="B21" s="8" t="s">
        <v>74</v>
      </c>
      <c r="C21" s="13"/>
      <c r="D21" s="27">
        <f>D19*(J3/2)*D9*I3*G3*0.001</f>
        <v>9.441891698</v>
      </c>
      <c r="E21" s="3">
        <f>E19*(J2/2)*E9*I2*G2*0.001</f>
        <v>15.44184273</v>
      </c>
      <c r="F21" s="3">
        <f>F19*(J5/2)*G5*F9*I5*0.001</f>
        <v>1.883933804</v>
      </c>
      <c r="H21">
        <f>H19*(J3/2)*H9*I3*G3*0.001</f>
        <v>9.441891698</v>
      </c>
      <c r="J21" s="5" t="s">
        <v>75</v>
      </c>
      <c r="K21">
        <f>E24+D24</f>
        <v>3.668234782</v>
      </c>
    </row>
    <row r="22">
      <c r="B22" s="8" t="s">
        <v>76</v>
      </c>
      <c r="C22" s="15">
        <f>0.008+(0.00004*J18)</f>
        <v>0.008</v>
      </c>
      <c r="D22" s="27">
        <f t="shared" ref="D22:F22" si="7">D21*0.06</f>
        <v>0.5665135019</v>
      </c>
      <c r="E22" s="3">
        <f t="shared" si="7"/>
        <v>0.9265105636</v>
      </c>
      <c r="F22" s="3">
        <f t="shared" si="7"/>
        <v>0.1130360283</v>
      </c>
      <c r="H22">
        <f>H21*0.06</f>
        <v>0.5665135019</v>
      </c>
      <c r="J22" s="5" t="s">
        <v>77</v>
      </c>
      <c r="K22">
        <f>F24</f>
        <v>0.3481509671</v>
      </c>
    </row>
    <row r="23">
      <c r="B23" s="8" t="s">
        <v>78</v>
      </c>
      <c r="C23" s="15">
        <v>1.025</v>
      </c>
      <c r="D23" s="3">
        <f t="shared" ref="D23:F23" si="8">D22*D20</f>
        <v>0.4815364766</v>
      </c>
      <c r="E23" s="3">
        <f t="shared" si="8"/>
        <v>0.7412084509</v>
      </c>
      <c r="F23" s="3">
        <f t="shared" si="8"/>
        <v>0.08703774176</v>
      </c>
      <c r="H23">
        <f>H22*H20</f>
        <v>0.4815364766</v>
      </c>
      <c r="J23" s="5" t="s">
        <v>79</v>
      </c>
      <c r="K23" s="29">
        <f>J30-C25</f>
        <v>0.15</v>
      </c>
    </row>
    <row r="24">
      <c r="B24" s="8" t="s">
        <v>80</v>
      </c>
      <c r="C24" s="18">
        <f>C23*C4</f>
        <v>0</v>
      </c>
      <c r="D24" s="3">
        <f>D23*C3</f>
        <v>1.44460943</v>
      </c>
      <c r="E24" s="3">
        <f>E23*C2</f>
        <v>2.223625353</v>
      </c>
      <c r="F24" s="3">
        <f>F23*C5</f>
        <v>0.3481509671</v>
      </c>
      <c r="H24">
        <f>H23*2</f>
        <v>0.9630729531</v>
      </c>
    </row>
    <row r="25">
      <c r="B25" s="30" t="s">
        <v>81</v>
      </c>
      <c r="C25" s="31">
        <f>sum(C24:F24)</f>
        <v>4.016385749</v>
      </c>
      <c r="D25" s="3"/>
      <c r="E25" s="3"/>
      <c r="F25" s="3"/>
    </row>
    <row r="26">
      <c r="B26" s="8" t="s">
        <v>82</v>
      </c>
      <c r="C26" s="3"/>
      <c r="D26" s="3"/>
      <c r="E26" s="3"/>
      <c r="F26" s="3"/>
    </row>
    <row r="27">
      <c r="B27" s="8"/>
      <c r="C27" s="3"/>
      <c r="D27" s="3"/>
      <c r="E27" s="3"/>
      <c r="F27" s="3"/>
      <c r="J27" s="32" t="s">
        <v>83</v>
      </c>
    </row>
    <row r="28">
      <c r="J28" s="5">
        <v>0.15</v>
      </c>
    </row>
    <row r="29">
      <c r="B29" s="5" t="s">
        <v>84</v>
      </c>
      <c r="J29" s="33" t="s">
        <v>85</v>
      </c>
    </row>
    <row r="30">
      <c r="B30" s="10" t="s">
        <v>86</v>
      </c>
      <c r="I30" s="33"/>
      <c r="J30" s="34">
        <f>J28+C25</f>
        <v>4.166385749</v>
      </c>
      <c r="K30" s="33"/>
    </row>
  </sheetData>
  <hyperlinks>
    <hyperlink r:id="rId1" ref="Q2"/>
    <hyperlink r:id="rId2" ref="B3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9" max="9" width="15.14"/>
    <col customWidth="1" min="18" max="18" width="16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>
      <c r="A2" s="1"/>
      <c r="B2" s="4" t="s">
        <v>2</v>
      </c>
      <c r="C2" s="6"/>
      <c r="D2" s="7" t="s">
        <v>17</v>
      </c>
      <c r="E2" s="7" t="s">
        <v>1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7" t="s">
        <v>27</v>
      </c>
      <c r="P2" s="7" t="s">
        <v>28</v>
      </c>
      <c r="Q2" s="7" t="s">
        <v>29</v>
      </c>
      <c r="R2" s="7" t="s">
        <v>30</v>
      </c>
      <c r="S2" s="7" t="s">
        <v>31</v>
      </c>
      <c r="T2" s="7" t="s">
        <v>32</v>
      </c>
      <c r="U2" s="7" t="s">
        <v>33</v>
      </c>
      <c r="V2" s="7" t="s">
        <v>34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>
      <c r="A3" s="1"/>
      <c r="B3" s="1"/>
      <c r="C3" s="7" t="s">
        <v>35</v>
      </c>
      <c r="D3" s="8">
        <v>0.0</v>
      </c>
      <c r="E3" s="1">
        <f>Sheet1!C2</f>
        <v>3</v>
      </c>
      <c r="F3" s="1">
        <f>Sheet1!J2/2</f>
        <v>38.7253125</v>
      </c>
      <c r="G3" s="1">
        <f>Sheet1!E9</f>
        <v>0.025</v>
      </c>
      <c r="H3" s="1">
        <f>Sheet1!E14</f>
        <v>5.65</v>
      </c>
      <c r="I3" s="1">
        <f t="shared" ref="I3:I6" si="1">(G3/F3)*H3</f>
        <v>0.003647485091</v>
      </c>
      <c r="J3" s="8">
        <f>Sheet1!I2</f>
        <v>33.265125</v>
      </c>
      <c r="K3" s="1">
        <f>Sheet1!J2</f>
        <v>77.450625</v>
      </c>
      <c r="L3" s="8">
        <v>10.0</v>
      </c>
      <c r="M3" s="8">
        <v>8.192E-4</v>
      </c>
      <c r="N3" s="8">
        <v>9810.0</v>
      </c>
      <c r="O3" s="8">
        <v>2.0</v>
      </c>
      <c r="P3" s="8">
        <v>0.0</v>
      </c>
      <c r="Q3" s="8">
        <f t="shared" ref="Q3:Q6" si="2">(O3*(L3^2)) / (2*N3)</f>
        <v>0.01019367992</v>
      </c>
      <c r="R3" s="1">
        <f t="shared" ref="R3:R6" si="3">(I3*J3*(L3^2)) / (K3*2*N3)</f>
        <v>0.000007984702792</v>
      </c>
      <c r="S3" s="11">
        <f t="shared" ref="S3:S6" si="4">O3*M3*N3</f>
        <v>16.072704</v>
      </c>
      <c r="T3" s="11">
        <f t="shared" ref="T3:T6" si="5">R3*M3*N3</f>
        <v>0.00006416788225</v>
      </c>
      <c r="U3" s="1">
        <f t="shared" ref="U3:U6" si="6">S3+T3</f>
        <v>16.07276817</v>
      </c>
      <c r="V3" s="1">
        <f t="shared" ref="V3:V6" si="7">U3*E3</f>
        <v>48.2183045</v>
      </c>
      <c r="W3" s="1"/>
      <c r="X3" s="1"/>
      <c r="Y3" s="1"/>
      <c r="Z3" s="1"/>
      <c r="AA3" s="1"/>
      <c r="AB3" s="1"/>
      <c r="AC3" s="8"/>
      <c r="AD3" s="1"/>
      <c r="AE3" s="1"/>
      <c r="AF3" s="1"/>
      <c r="AG3" s="1"/>
      <c r="AH3" s="1"/>
      <c r="AI3" s="1"/>
    </row>
    <row r="4">
      <c r="A4" s="1"/>
      <c r="B4" s="1"/>
      <c r="C4" s="7" t="s">
        <v>40</v>
      </c>
      <c r="D4" s="8">
        <v>0.0</v>
      </c>
      <c r="E4" s="8">
        <f>Sheet1!C3</f>
        <v>3</v>
      </c>
      <c r="F4" s="1">
        <f>Sheet1!J3/2</f>
        <v>30.99625</v>
      </c>
      <c r="G4" s="8">
        <f>Sheet1!D9</f>
        <v>0.04</v>
      </c>
      <c r="H4" s="8">
        <f>Sheet1!D14</f>
        <v>13</v>
      </c>
      <c r="I4" s="1">
        <f t="shared" si="1"/>
        <v>0.01677622293</v>
      </c>
      <c r="J4" s="8">
        <f>Sheet1!I3</f>
        <v>15</v>
      </c>
      <c r="K4" s="1">
        <f>Sheet1!J3</f>
        <v>61.9925</v>
      </c>
      <c r="L4" s="8">
        <v>10.0</v>
      </c>
      <c r="M4" s="8">
        <v>8.192E-4</v>
      </c>
      <c r="N4" s="8">
        <v>9810.0</v>
      </c>
      <c r="O4" s="8">
        <v>2.0</v>
      </c>
      <c r="P4" s="8">
        <v>0.0</v>
      </c>
      <c r="Q4" s="8">
        <f t="shared" si="2"/>
        <v>0.01019367992</v>
      </c>
      <c r="R4" s="1">
        <f t="shared" si="3"/>
        <v>0.00002068937131</v>
      </c>
      <c r="S4" s="11">
        <f t="shared" si="4"/>
        <v>16.072704</v>
      </c>
      <c r="T4" s="11">
        <f t="shared" si="5"/>
        <v>0.0001662670705</v>
      </c>
      <c r="U4" s="1">
        <f t="shared" si="6"/>
        <v>16.07287027</v>
      </c>
      <c r="V4" s="1">
        <f t="shared" si="7"/>
        <v>48.2186108</v>
      </c>
      <c r="W4" s="8"/>
      <c r="X4" s="8"/>
      <c r="Y4" s="8"/>
      <c r="Z4" s="8"/>
      <c r="AA4" s="8"/>
      <c r="AB4" s="8"/>
      <c r="AC4" s="8"/>
      <c r="AD4" s="1"/>
      <c r="AE4" s="1"/>
      <c r="AF4" s="1"/>
      <c r="AG4" s="1"/>
      <c r="AH4" s="1"/>
      <c r="AI4" s="1"/>
    </row>
    <row r="5">
      <c r="A5" s="1"/>
      <c r="B5" s="1"/>
      <c r="C5" s="7" t="s">
        <v>50</v>
      </c>
      <c r="D5" s="8">
        <v>0.0</v>
      </c>
      <c r="E5" s="1">
        <f>Sheet1!C4</f>
        <v>0</v>
      </c>
      <c r="F5" s="1">
        <f>Sheet1!J4/2</f>
        <v>16.025</v>
      </c>
      <c r="G5" s="1">
        <f>Sheet1!C9</f>
        <v>0.025</v>
      </c>
      <c r="H5" s="1">
        <f>Sheet1!C14</f>
        <v>7</v>
      </c>
      <c r="I5" s="1">
        <f t="shared" si="1"/>
        <v>0.01092043682</v>
      </c>
      <c r="J5" s="8">
        <f>Sheet1!I4</f>
        <v>15</v>
      </c>
      <c r="K5" s="1">
        <f>Sheet1!J4</f>
        <v>32.05</v>
      </c>
      <c r="L5" s="8">
        <v>10.0</v>
      </c>
      <c r="M5" s="8">
        <v>8.192E-4</v>
      </c>
      <c r="N5" s="8">
        <v>9810.0</v>
      </c>
      <c r="O5" s="8">
        <v>2.0</v>
      </c>
      <c r="P5" s="8">
        <v>0.0</v>
      </c>
      <c r="Q5" s="8">
        <f t="shared" si="2"/>
        <v>0.01019367992</v>
      </c>
      <c r="R5" s="1">
        <f t="shared" si="3"/>
        <v>0.00002604979036</v>
      </c>
      <c r="S5" s="11">
        <f t="shared" si="4"/>
        <v>16.072704</v>
      </c>
      <c r="T5" s="11">
        <f t="shared" si="5"/>
        <v>0.0002093452849</v>
      </c>
      <c r="U5" s="1">
        <f t="shared" si="6"/>
        <v>16.07291335</v>
      </c>
      <c r="V5" s="1">
        <f t="shared" si="7"/>
        <v>0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>
      <c r="A6" s="1"/>
      <c r="B6" s="1"/>
      <c r="C6" s="7" t="s">
        <v>51</v>
      </c>
      <c r="D6" s="8">
        <v>0.0</v>
      </c>
      <c r="E6" s="1">
        <f>Sheet1!C5</f>
        <v>4</v>
      </c>
      <c r="F6" s="1">
        <f>Sheet1!J5/2</f>
        <v>12.725</v>
      </c>
      <c r="G6" s="1">
        <f>Sheet1!F9</f>
        <v>0.025</v>
      </c>
      <c r="H6" s="1">
        <f>Sheet1!F14</f>
        <v>7</v>
      </c>
      <c r="I6" s="1">
        <f t="shared" si="1"/>
        <v>0.0137524558</v>
      </c>
      <c r="J6" s="8">
        <f>Sheet1!I5</f>
        <v>12.725</v>
      </c>
      <c r="K6" s="1">
        <f>Sheet1!J5</f>
        <v>25.45</v>
      </c>
      <c r="L6" s="8">
        <v>10.0</v>
      </c>
      <c r="M6" s="8">
        <v>8.192E-4</v>
      </c>
      <c r="N6" s="8">
        <v>9810.0</v>
      </c>
      <c r="O6" s="8">
        <v>2.0</v>
      </c>
      <c r="P6" s="8">
        <v>0.0</v>
      </c>
      <c r="Q6" s="8">
        <f t="shared" si="2"/>
        <v>0.01019367992</v>
      </c>
      <c r="R6" s="1">
        <f t="shared" si="3"/>
        <v>0.00003504703312</v>
      </c>
      <c r="S6" s="11">
        <f t="shared" si="4"/>
        <v>16.072704</v>
      </c>
      <c r="T6" s="11">
        <f t="shared" si="5"/>
        <v>0.0002816502947</v>
      </c>
      <c r="U6" s="1">
        <f t="shared" si="6"/>
        <v>16.07298565</v>
      </c>
      <c r="V6" s="1">
        <f t="shared" si="7"/>
        <v>64.2919426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>
      <c r="A7" s="1"/>
      <c r="B7" s="1"/>
      <c r="C7" s="7" t="s">
        <v>56</v>
      </c>
      <c r="D7" s="8">
        <v>230.0</v>
      </c>
      <c r="E7" s="17"/>
      <c r="F7" s="17"/>
      <c r="G7" s="17"/>
      <c r="H7" s="17"/>
      <c r="I7" s="17"/>
      <c r="J7" s="17"/>
      <c r="K7" s="17"/>
      <c r="L7" s="17"/>
      <c r="M7" s="8">
        <v>8.192E-4</v>
      </c>
      <c r="N7" s="8">
        <v>9810.0</v>
      </c>
      <c r="O7" s="17"/>
      <c r="P7" s="1">
        <f>D7*M7*N7*0.001</f>
        <v>1.84836096</v>
      </c>
      <c r="Q7" s="17"/>
      <c r="R7" s="19"/>
      <c r="S7" s="21"/>
      <c r="T7" s="21"/>
      <c r="U7" s="21"/>
      <c r="V7" s="1">
        <f>P7</f>
        <v>1.84836096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>
      <c r="A8" s="22" t="s">
        <v>58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>
      <c r="A9" s="22">
        <f>sum(V3:V7)</f>
        <v>162.5772189</v>
      </c>
      <c r="B9" s="8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>
      <c r="A10" s="22"/>
      <c r="B10" s="1"/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8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>
      <c r="A11" s="22" t="s">
        <v>60</v>
      </c>
      <c r="B11" s="1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8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>
      <c r="A12" s="22">
        <f>B12*Sheet1!E2/1000</f>
        <v>388.9334116</v>
      </c>
      <c r="B12" s="25">
        <v>68.9476</v>
      </c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8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>
      <c r="A13" s="2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>
      <c r="A14" s="26"/>
      <c r="B14" s="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>
      <c r="A15" s="26" t="s">
        <v>62</v>
      </c>
      <c r="B15" s="1"/>
      <c r="C15" s="8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>
      <c r="A16" s="26">
        <f>A12+A9</f>
        <v>551.5106305</v>
      </c>
      <c r="B16" s="1"/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>
      <c r="B17" s="1"/>
      <c r="C17" s="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35" t="s">
        <v>87</v>
      </c>
      <c r="D1" s="35" t="s">
        <v>88</v>
      </c>
      <c r="E1" s="35" t="s">
        <v>89</v>
      </c>
      <c r="F1" s="35" t="s">
        <v>90</v>
      </c>
      <c r="G1" s="35" t="s">
        <v>91</v>
      </c>
      <c r="H1" s="35" t="s">
        <v>92</v>
      </c>
    </row>
    <row r="2">
      <c r="C2" s="29">
        <f>Sheet1!J30</f>
        <v>4.166385749</v>
      </c>
      <c r="D2">
        <f t="shared" ref="D2:D41" si="1">16666.7*C2</f>
        <v>69439.90137</v>
      </c>
      <c r="E2">
        <f t="shared" ref="E2:E41" si="2">D2/F2</f>
        <v>9053.555549</v>
      </c>
      <c r="F2" s="5">
        <f t="shared" ref="F2:F41" si="3">((H2/2)^2)*PI()</f>
        <v>7.669903939</v>
      </c>
      <c r="G2">
        <f t="shared" ref="G2:G41" si="4">0.001*E2</f>
        <v>9.053555549</v>
      </c>
      <c r="H2" s="5">
        <v>3.125</v>
      </c>
    </row>
    <row r="3">
      <c r="C3" s="29">
        <f>Sheet1!J30</f>
        <v>4.166385749</v>
      </c>
      <c r="D3">
        <f t="shared" si="1"/>
        <v>69439.90137</v>
      </c>
      <c r="E3">
        <f t="shared" si="2"/>
        <v>8370.521032</v>
      </c>
      <c r="F3" s="5">
        <f t="shared" si="3"/>
        <v>8.295768101</v>
      </c>
      <c r="G3">
        <f t="shared" si="4"/>
        <v>8.370521032</v>
      </c>
      <c r="H3" s="5">
        <v>3.25</v>
      </c>
    </row>
    <row r="4">
      <c r="C4" s="29">
        <f>Sheet1!J30</f>
        <v>4.166385749</v>
      </c>
      <c r="D4">
        <f t="shared" si="1"/>
        <v>69439.90137</v>
      </c>
      <c r="E4">
        <f t="shared" si="2"/>
        <v>7761.964634</v>
      </c>
      <c r="F4" s="5">
        <f t="shared" si="3"/>
        <v>8.946175955</v>
      </c>
      <c r="G4">
        <f t="shared" si="4"/>
        <v>7.761964634</v>
      </c>
      <c r="H4" s="5">
        <v>3.375</v>
      </c>
    </row>
    <row r="5">
      <c r="C5" s="29">
        <f t="shared" ref="C5:C41" si="5">C2</f>
        <v>4.166385749</v>
      </c>
      <c r="D5">
        <f t="shared" si="1"/>
        <v>69439.90137</v>
      </c>
      <c r="E5">
        <f t="shared" si="2"/>
        <v>7217.439054</v>
      </c>
      <c r="F5" s="5">
        <f t="shared" si="3"/>
        <v>9.621127502</v>
      </c>
      <c r="G5">
        <f t="shared" si="4"/>
        <v>7.217439054</v>
      </c>
      <c r="H5" s="5">
        <v>3.5</v>
      </c>
    </row>
    <row r="6">
      <c r="C6" s="29">
        <f t="shared" si="5"/>
        <v>4.166385749</v>
      </c>
      <c r="D6">
        <f t="shared" si="1"/>
        <v>69439.90137</v>
      </c>
      <c r="E6">
        <f t="shared" si="2"/>
        <v>6728.266609</v>
      </c>
      <c r="F6" s="5">
        <f t="shared" si="3"/>
        <v>10.32062274</v>
      </c>
      <c r="G6">
        <f t="shared" si="4"/>
        <v>6.728266609</v>
      </c>
      <c r="H6" s="5">
        <v>3.625</v>
      </c>
    </row>
    <row r="7">
      <c r="C7" s="29">
        <f t="shared" si="5"/>
        <v>4.166385749</v>
      </c>
      <c r="D7">
        <f t="shared" si="1"/>
        <v>69439.90137</v>
      </c>
      <c r="E7">
        <f t="shared" si="2"/>
        <v>6287.191353</v>
      </c>
      <c r="F7" s="5">
        <f t="shared" si="3"/>
        <v>11.04466167</v>
      </c>
      <c r="G7">
        <f t="shared" si="4"/>
        <v>6.287191353</v>
      </c>
      <c r="H7" s="5">
        <v>3.75</v>
      </c>
    </row>
    <row r="8">
      <c r="C8" s="29">
        <f t="shared" si="5"/>
        <v>4.166385749</v>
      </c>
      <c r="D8">
        <f t="shared" si="1"/>
        <v>69439.90137</v>
      </c>
      <c r="E8">
        <f t="shared" si="2"/>
        <v>5888.108447</v>
      </c>
      <c r="F8" s="5">
        <f t="shared" si="3"/>
        <v>11.7932443</v>
      </c>
      <c r="G8">
        <f t="shared" si="4"/>
        <v>5.888108447</v>
      </c>
      <c r="H8" s="5">
        <v>3.875</v>
      </c>
    </row>
    <row r="9">
      <c r="C9" s="29">
        <f t="shared" si="5"/>
        <v>4.166385749</v>
      </c>
      <c r="D9">
        <f t="shared" si="1"/>
        <v>69439.90137</v>
      </c>
      <c r="E9">
        <f t="shared" si="2"/>
        <v>5525.851775</v>
      </c>
      <c r="F9" s="5">
        <f t="shared" si="3"/>
        <v>12.56637061</v>
      </c>
      <c r="G9">
        <f t="shared" si="4"/>
        <v>5.525851775</v>
      </c>
      <c r="H9" s="5">
        <v>4.0</v>
      </c>
    </row>
    <row r="10">
      <c r="C10" s="29">
        <f t="shared" si="5"/>
        <v>4.166385749</v>
      </c>
      <c r="D10">
        <f t="shared" si="1"/>
        <v>69439.90137</v>
      </c>
      <c r="E10">
        <f t="shared" si="2"/>
        <v>5196.025912</v>
      </c>
      <c r="F10" s="5">
        <f t="shared" si="3"/>
        <v>13.36404062</v>
      </c>
      <c r="G10">
        <f t="shared" si="4"/>
        <v>5.196025912</v>
      </c>
      <c r="H10" s="5">
        <v>4.125</v>
      </c>
    </row>
    <row r="11">
      <c r="C11" s="29">
        <f t="shared" si="5"/>
        <v>4.166385749</v>
      </c>
      <c r="D11">
        <f t="shared" si="1"/>
        <v>69439.90137</v>
      </c>
      <c r="E11">
        <f t="shared" si="2"/>
        <v>4894.872161</v>
      </c>
      <c r="F11" s="5">
        <f t="shared" si="3"/>
        <v>14.18625433</v>
      </c>
      <c r="G11">
        <f t="shared" si="4"/>
        <v>4.894872161</v>
      </c>
      <c r="H11" s="5">
        <v>4.25</v>
      </c>
    </row>
    <row r="12">
      <c r="C12" s="29">
        <f t="shared" si="5"/>
        <v>4.166385749</v>
      </c>
      <c r="D12">
        <f t="shared" si="1"/>
        <v>69439.90137</v>
      </c>
      <c r="E12">
        <f t="shared" si="2"/>
        <v>4619.160994</v>
      </c>
      <c r="F12" s="5">
        <f t="shared" si="3"/>
        <v>15.03301172</v>
      </c>
      <c r="G12">
        <f t="shared" si="4"/>
        <v>4.619160994</v>
      </c>
      <c r="H12" s="5">
        <v>4.375</v>
      </c>
    </row>
    <row r="13">
      <c r="C13" s="29">
        <f t="shared" si="5"/>
        <v>4.166385749</v>
      </c>
      <c r="D13">
        <f t="shared" si="1"/>
        <v>69439.90137</v>
      </c>
      <c r="E13">
        <f t="shared" si="2"/>
        <v>4366.105106</v>
      </c>
      <c r="F13" s="5">
        <f t="shared" si="3"/>
        <v>15.90431281</v>
      </c>
      <c r="G13">
        <f t="shared" si="4"/>
        <v>4.366105106</v>
      </c>
      <c r="H13" s="5">
        <v>4.5</v>
      </c>
    </row>
    <row r="14">
      <c r="C14" s="29">
        <f t="shared" si="5"/>
        <v>4.166385749</v>
      </c>
      <c r="D14">
        <f t="shared" si="1"/>
        <v>69439.90137</v>
      </c>
      <c r="E14">
        <f t="shared" si="2"/>
        <v>4133.288691</v>
      </c>
      <c r="F14" s="5">
        <f t="shared" si="3"/>
        <v>16.80015759</v>
      </c>
      <c r="G14">
        <f t="shared" si="4"/>
        <v>4.133288691</v>
      </c>
      <c r="H14" s="5">
        <v>4.625</v>
      </c>
    </row>
    <row r="15">
      <c r="C15" s="29">
        <f t="shared" si="5"/>
        <v>4.166385749</v>
      </c>
      <c r="D15">
        <f t="shared" si="1"/>
        <v>69439.90137</v>
      </c>
      <c r="E15">
        <f t="shared" si="2"/>
        <v>3918.609569</v>
      </c>
      <c r="F15" s="5">
        <f t="shared" si="3"/>
        <v>17.72054606</v>
      </c>
      <c r="G15">
        <f t="shared" si="4"/>
        <v>3.918609569</v>
      </c>
      <c r="H15" s="5">
        <v>4.75</v>
      </c>
    </row>
    <row r="16">
      <c r="C16" s="29">
        <f t="shared" si="5"/>
        <v>4.166385749</v>
      </c>
      <c r="D16">
        <f t="shared" si="1"/>
        <v>69439.90137</v>
      </c>
      <c r="E16">
        <f t="shared" si="2"/>
        <v>3720.23157</v>
      </c>
      <c r="F16" s="5">
        <f t="shared" si="3"/>
        <v>18.66547823</v>
      </c>
      <c r="G16">
        <f t="shared" si="4"/>
        <v>3.72023157</v>
      </c>
      <c r="H16" s="5">
        <v>4.875</v>
      </c>
    </row>
    <row r="17">
      <c r="C17" s="29">
        <f t="shared" si="5"/>
        <v>4.166385749</v>
      </c>
      <c r="D17">
        <f t="shared" si="1"/>
        <v>69439.90137</v>
      </c>
      <c r="E17">
        <f t="shared" si="2"/>
        <v>3536.545136</v>
      </c>
      <c r="F17" s="5">
        <f t="shared" si="3"/>
        <v>19.63495408</v>
      </c>
      <c r="G17">
        <f t="shared" si="4"/>
        <v>3.536545136</v>
      </c>
      <c r="H17" s="5">
        <v>5.0</v>
      </c>
    </row>
    <row r="18">
      <c r="C18" s="29">
        <f t="shared" si="5"/>
        <v>4.166385749</v>
      </c>
      <c r="D18">
        <f t="shared" si="1"/>
        <v>69439.90137</v>
      </c>
      <c r="E18">
        <f t="shared" si="2"/>
        <v>3366.134573</v>
      </c>
      <c r="F18" s="5">
        <f t="shared" si="3"/>
        <v>20.62897364</v>
      </c>
      <c r="G18">
        <f t="shared" si="4"/>
        <v>3.366134573</v>
      </c>
      <c r="H18" s="5">
        <v>5.125</v>
      </c>
    </row>
    <row r="19">
      <c r="C19" s="29">
        <f t="shared" si="5"/>
        <v>4.166385749</v>
      </c>
      <c r="D19">
        <f t="shared" si="1"/>
        <v>69439.90137</v>
      </c>
      <c r="E19">
        <f t="shared" si="2"/>
        <v>3207.75069</v>
      </c>
      <c r="F19" s="5">
        <f t="shared" si="3"/>
        <v>21.64753688</v>
      </c>
      <c r="G19">
        <f t="shared" si="4"/>
        <v>3.20775069</v>
      </c>
      <c r="H19" s="5">
        <v>5.25</v>
      </c>
    </row>
    <row r="20">
      <c r="C20" s="29">
        <f t="shared" si="5"/>
        <v>4.166385749</v>
      </c>
      <c r="D20">
        <f t="shared" si="1"/>
        <v>69439.90137</v>
      </c>
      <c r="E20">
        <f t="shared" si="2"/>
        <v>3060.287841</v>
      </c>
      <c r="F20" s="5">
        <f t="shared" si="3"/>
        <v>22.69064381</v>
      </c>
      <c r="G20">
        <f t="shared" si="4"/>
        <v>3.060287841</v>
      </c>
      <c r="H20" s="5">
        <v>5.375</v>
      </c>
    </row>
    <row r="21">
      <c r="C21" s="29">
        <f t="shared" si="5"/>
        <v>4.166385749</v>
      </c>
      <c r="D21">
        <f t="shared" si="1"/>
        <v>69439.90137</v>
      </c>
      <c r="E21">
        <f t="shared" si="2"/>
        <v>2922.764575</v>
      </c>
      <c r="F21" s="5">
        <f t="shared" si="3"/>
        <v>23.75829444</v>
      </c>
      <c r="G21">
        <f t="shared" si="4"/>
        <v>2.922764575</v>
      </c>
      <c r="H21" s="5">
        <v>5.5</v>
      </c>
    </row>
    <row r="22">
      <c r="C22" s="29">
        <f t="shared" si="5"/>
        <v>4.166385749</v>
      </c>
      <c r="D22">
        <f t="shared" si="1"/>
        <v>69439.90137</v>
      </c>
      <c r="E22">
        <f t="shared" si="2"/>
        <v>2794.307268</v>
      </c>
      <c r="F22" s="5">
        <f t="shared" si="3"/>
        <v>24.85048876</v>
      </c>
      <c r="G22">
        <f t="shared" si="4"/>
        <v>2.794307268</v>
      </c>
      <c r="H22" s="5">
        <v>5.625</v>
      </c>
    </row>
    <row r="23">
      <c r="C23" s="29">
        <f t="shared" si="5"/>
        <v>4.166385749</v>
      </c>
      <c r="D23">
        <f t="shared" si="1"/>
        <v>69439.90137</v>
      </c>
      <c r="E23">
        <f t="shared" si="2"/>
        <v>2674.136209</v>
      </c>
      <c r="F23" s="5">
        <f t="shared" si="3"/>
        <v>25.96722678</v>
      </c>
      <c r="G23">
        <f t="shared" si="4"/>
        <v>2.674136209</v>
      </c>
      <c r="H23" s="5">
        <v>5.75</v>
      </c>
    </row>
    <row r="24">
      <c r="C24" s="29">
        <f t="shared" si="5"/>
        <v>4.166385749</v>
      </c>
      <c r="D24">
        <f t="shared" si="1"/>
        <v>69439.90137</v>
      </c>
      <c r="E24">
        <f t="shared" si="2"/>
        <v>2561.553743</v>
      </c>
      <c r="F24" s="5">
        <f t="shared" si="3"/>
        <v>27.10850848</v>
      </c>
      <c r="G24">
        <f t="shared" si="4"/>
        <v>2.561553743</v>
      </c>
      <c r="H24" s="5">
        <v>5.875</v>
      </c>
    </row>
    <row r="25">
      <c r="C25" s="29">
        <f t="shared" si="5"/>
        <v>4.166385749</v>
      </c>
      <c r="D25">
        <f t="shared" si="1"/>
        <v>69439.90137</v>
      </c>
      <c r="E25">
        <f t="shared" si="2"/>
        <v>2455.934122</v>
      </c>
      <c r="F25" s="5">
        <f t="shared" si="3"/>
        <v>28.27433388</v>
      </c>
      <c r="G25">
        <f t="shared" si="4"/>
        <v>2.455934122</v>
      </c>
      <c r="H25" s="5">
        <v>6.0</v>
      </c>
    </row>
    <row r="26">
      <c r="C26" s="29">
        <f t="shared" si="5"/>
        <v>4.166385749</v>
      </c>
      <c r="D26">
        <f t="shared" si="1"/>
        <v>69439.90137</v>
      </c>
      <c r="E26">
        <f t="shared" si="2"/>
        <v>2356.714793</v>
      </c>
      <c r="F26" s="5">
        <f t="shared" si="3"/>
        <v>29.46470297</v>
      </c>
      <c r="G26">
        <f t="shared" si="4"/>
        <v>2.356714793</v>
      </c>
      <c r="H26" s="5">
        <v>6.125</v>
      </c>
    </row>
    <row r="27">
      <c r="C27" s="29">
        <f t="shared" si="5"/>
        <v>4.166385749</v>
      </c>
      <c r="D27">
        <f t="shared" si="1"/>
        <v>69439.90137</v>
      </c>
      <c r="E27">
        <f t="shared" si="2"/>
        <v>2263.388887</v>
      </c>
      <c r="F27" s="5">
        <f t="shared" si="3"/>
        <v>30.67961576</v>
      </c>
      <c r="G27">
        <f t="shared" si="4"/>
        <v>2.263388887</v>
      </c>
      <c r="H27" s="5">
        <v>6.25</v>
      </c>
    </row>
    <row r="28">
      <c r="C28" s="29">
        <f t="shared" si="5"/>
        <v>4.166385749</v>
      </c>
      <c r="D28">
        <f t="shared" si="1"/>
        <v>69439.90137</v>
      </c>
      <c r="E28">
        <f t="shared" si="2"/>
        <v>2175.498738</v>
      </c>
      <c r="F28" s="5">
        <f t="shared" si="3"/>
        <v>31.91907223</v>
      </c>
      <c r="G28">
        <f t="shared" si="4"/>
        <v>2.175498738</v>
      </c>
      <c r="H28" s="5">
        <v>6.375</v>
      </c>
    </row>
    <row r="29">
      <c r="C29" s="29">
        <f t="shared" si="5"/>
        <v>4.166385749</v>
      </c>
      <c r="D29">
        <f t="shared" si="1"/>
        <v>69439.90137</v>
      </c>
      <c r="E29">
        <f t="shared" si="2"/>
        <v>2092.630258</v>
      </c>
      <c r="F29" s="5">
        <f t="shared" si="3"/>
        <v>33.1830724</v>
      </c>
      <c r="G29">
        <f t="shared" si="4"/>
        <v>2.092630258</v>
      </c>
      <c r="H29" s="5">
        <v>6.5</v>
      </c>
    </row>
    <row r="30">
      <c r="C30" s="29">
        <f t="shared" si="5"/>
        <v>4.166385749</v>
      </c>
      <c r="D30">
        <f t="shared" si="1"/>
        <v>69439.90137</v>
      </c>
      <c r="E30">
        <f t="shared" si="2"/>
        <v>2014.408052</v>
      </c>
      <c r="F30" s="5">
        <f t="shared" si="3"/>
        <v>34.47161627</v>
      </c>
      <c r="G30">
        <f t="shared" si="4"/>
        <v>2.014408052</v>
      </c>
      <c r="H30" s="5">
        <v>6.625</v>
      </c>
    </row>
    <row r="31">
      <c r="C31" s="29">
        <f t="shared" si="5"/>
        <v>4.166385749</v>
      </c>
      <c r="D31">
        <f t="shared" si="1"/>
        <v>69439.90137</v>
      </c>
      <c r="E31">
        <f t="shared" si="2"/>
        <v>1940.491158</v>
      </c>
      <c r="F31" s="5">
        <f t="shared" si="3"/>
        <v>35.78470382</v>
      </c>
      <c r="G31">
        <f t="shared" si="4"/>
        <v>1.940491158</v>
      </c>
      <c r="H31" s="5">
        <v>6.75</v>
      </c>
    </row>
    <row r="32">
      <c r="C32" s="29">
        <f t="shared" si="5"/>
        <v>4.166385749</v>
      </c>
      <c r="D32">
        <f t="shared" si="1"/>
        <v>69439.90137</v>
      </c>
      <c r="E32">
        <f t="shared" si="2"/>
        <v>1870.569328</v>
      </c>
      <c r="F32" s="5">
        <f t="shared" si="3"/>
        <v>37.12233507</v>
      </c>
      <c r="G32">
        <f t="shared" si="4"/>
        <v>1.870569328</v>
      </c>
      <c r="H32" s="5">
        <v>6.875</v>
      </c>
    </row>
    <row r="33">
      <c r="C33" s="36">
        <f t="shared" si="5"/>
        <v>4.166385749</v>
      </c>
      <c r="D33" s="37">
        <f t="shared" si="1"/>
        <v>69439.90137</v>
      </c>
      <c r="E33" s="37">
        <f t="shared" si="2"/>
        <v>1804.359763</v>
      </c>
      <c r="F33" s="38">
        <f t="shared" si="3"/>
        <v>38.48451001</v>
      </c>
      <c r="G33" s="37">
        <f t="shared" si="4"/>
        <v>1.804359763</v>
      </c>
      <c r="H33" s="38">
        <v>7.0</v>
      </c>
    </row>
    <row r="34">
      <c r="C34" s="29">
        <f t="shared" si="5"/>
        <v>4.166385749</v>
      </c>
      <c r="D34">
        <f t="shared" si="1"/>
        <v>69439.90137</v>
      </c>
      <c r="E34">
        <f t="shared" si="2"/>
        <v>1741.604253</v>
      </c>
      <c r="F34" s="5">
        <f t="shared" si="3"/>
        <v>39.87122864</v>
      </c>
      <c r="G34">
        <f t="shared" si="4"/>
        <v>1.741604253</v>
      </c>
      <c r="H34" s="5">
        <v>7.125</v>
      </c>
    </row>
    <row r="35">
      <c r="C35" s="29">
        <f t="shared" si="5"/>
        <v>4.166385749</v>
      </c>
      <c r="D35">
        <f t="shared" si="1"/>
        <v>69439.90137</v>
      </c>
      <c r="E35">
        <f t="shared" si="2"/>
        <v>1682.066652</v>
      </c>
      <c r="F35" s="5">
        <f t="shared" si="3"/>
        <v>41.28249096</v>
      </c>
      <c r="G35">
        <f t="shared" si="4"/>
        <v>1.682066652</v>
      </c>
      <c r="H35" s="5">
        <v>7.25</v>
      </c>
    </row>
    <row r="36">
      <c r="C36" s="29">
        <f t="shared" si="5"/>
        <v>4.166385749</v>
      </c>
      <c r="D36">
        <f t="shared" si="1"/>
        <v>69439.90137</v>
      </c>
      <c r="E36">
        <f t="shared" si="2"/>
        <v>1625.530657</v>
      </c>
      <c r="F36" s="5">
        <f t="shared" si="3"/>
        <v>42.71829698</v>
      </c>
      <c r="G36">
        <f t="shared" si="4"/>
        <v>1.625530657</v>
      </c>
      <c r="H36" s="5">
        <v>7.375</v>
      </c>
    </row>
    <row r="37">
      <c r="C37" s="29">
        <f t="shared" si="5"/>
        <v>4.166385749</v>
      </c>
      <c r="D37">
        <f t="shared" si="1"/>
        <v>69439.90137</v>
      </c>
      <c r="E37">
        <f t="shared" si="2"/>
        <v>1571.797838</v>
      </c>
      <c r="F37" s="5">
        <f t="shared" si="3"/>
        <v>44.17864669</v>
      </c>
      <c r="G37">
        <f t="shared" si="4"/>
        <v>1.571797838</v>
      </c>
      <c r="H37" s="5">
        <v>7.5</v>
      </c>
    </row>
    <row r="38">
      <c r="C38" s="29">
        <f t="shared" si="5"/>
        <v>4.166385749</v>
      </c>
      <c r="D38">
        <f t="shared" si="1"/>
        <v>69439.90137</v>
      </c>
      <c r="E38">
        <f t="shared" si="2"/>
        <v>1520.685896</v>
      </c>
      <c r="F38" s="5">
        <f t="shared" si="3"/>
        <v>45.66354009</v>
      </c>
      <c r="G38">
        <f t="shared" si="4"/>
        <v>1.520685896</v>
      </c>
      <c r="H38" s="5">
        <v>7.625</v>
      </c>
    </row>
    <row r="39">
      <c r="C39" s="29">
        <f t="shared" si="5"/>
        <v>4.166385749</v>
      </c>
      <c r="D39">
        <f t="shared" si="1"/>
        <v>69439.90137</v>
      </c>
      <c r="E39">
        <f t="shared" si="2"/>
        <v>1472.027112</v>
      </c>
      <c r="F39" s="5">
        <f t="shared" si="3"/>
        <v>47.17297719</v>
      </c>
      <c r="G39">
        <f t="shared" si="4"/>
        <v>1.472027112</v>
      </c>
      <c r="H39" s="5">
        <v>7.75</v>
      </c>
    </row>
    <row r="40">
      <c r="C40" s="29">
        <f t="shared" si="5"/>
        <v>4.166385749</v>
      </c>
      <c r="D40">
        <f t="shared" si="1"/>
        <v>69439.90137</v>
      </c>
      <c r="E40">
        <f t="shared" si="2"/>
        <v>1425.666974</v>
      </c>
      <c r="F40" s="5">
        <f t="shared" si="3"/>
        <v>48.70695798</v>
      </c>
      <c r="G40">
        <f t="shared" si="4"/>
        <v>1.425666974</v>
      </c>
      <c r="H40" s="5">
        <v>7.875</v>
      </c>
    </row>
    <row r="41">
      <c r="C41" s="29">
        <f t="shared" si="5"/>
        <v>4.166385749</v>
      </c>
      <c r="D41">
        <f t="shared" si="1"/>
        <v>69439.90137</v>
      </c>
      <c r="E41">
        <f t="shared" si="2"/>
        <v>1381.462944</v>
      </c>
      <c r="F41" s="5">
        <f t="shared" si="3"/>
        <v>50.26548246</v>
      </c>
      <c r="G41">
        <f t="shared" si="4"/>
        <v>1.381462944</v>
      </c>
      <c r="H41" s="5">
        <v>8.0</v>
      </c>
    </row>
  </sheetData>
  <drawing r:id="rId1"/>
</worksheet>
</file>