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imensions Sheet" sheetId="1" r:id="rId3"/>
    <sheet state="visible" name="Piston Dimensions" sheetId="2" r:id="rId4"/>
    <sheet state="visible" name="ConRod Dimension Calcs" sheetId="3" r:id="rId5"/>
    <sheet state="visible" name="ConRod Force Analysis" sheetId="4" r:id="rId6"/>
    <sheet state="visible" name="ConRod Bearing Calcs" sheetId="5" r:id="rId7"/>
    <sheet state="visible" name="IntakeExhaust Calcs" sheetId="6" r:id="rId8"/>
    <sheet state="visible" name="Sprocket Calcs" sheetId="7" r:id="rId9"/>
    <sheet state="visible" name="Flywheel Calcs"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J3">
      <text>
        <t xml:space="preserve">from non-ideal combustion analysis
</t>
      </text>
    </comment>
    <comment authorId="0" ref="J4">
      <text>
        <t xml:space="preserve">Cast Steel suggested, what grade of steel?</t>
      </text>
    </comment>
    <comment authorId="0" ref="J5">
      <text>
        <t xml:space="preserve">Affected by geometry? further research into what difference the shape makes. A sort of tapered I-Beam shape seems pretty common.</t>
      </text>
    </comment>
    <comment authorId="0" ref="B17">
      <text>
        <t xml:space="preserve">When the piston is halfway through the stroke, and the crankshaft offset pin is straight horizontal with respect to the main shaft, these are the angles the ConRod makes with the vertical and horizontal.</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Values Needed: c/d
Bearing Characteristic Number
Flow Variable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10">
      <text>
        <t xml:space="preserve">Every other cycle has an intake stroke, so total times per second cyl is filled is RPS/2. Multiply by single cyl vol to find req'd vol per second.</t>
      </text>
    </comment>
  </commentList>
</comments>
</file>

<file path=xl/sharedStrings.xml><?xml version="1.0" encoding="utf-8"?>
<sst xmlns="http://schemas.openxmlformats.org/spreadsheetml/2006/main" count="833" uniqueCount="419">
  <si>
    <t>Piston Dimensions</t>
  </si>
  <si>
    <t>Dimension Name</t>
  </si>
  <si>
    <t>Dimension Value</t>
  </si>
  <si>
    <t>Units</t>
  </si>
  <si>
    <t>Who Calculated/Selected It?</t>
  </si>
  <si>
    <t>How Was It Calculated/Selected?</t>
  </si>
  <si>
    <t>Any Relevant Links/Notes</t>
  </si>
  <si>
    <t>Calcs Needed</t>
  </si>
  <si>
    <t>Powertrain</t>
  </si>
  <si>
    <t>Connecting Rod Calculations</t>
  </si>
  <si>
    <t>Thickness of the Piston Head (th):</t>
  </si>
  <si>
    <t>0.605 in.</t>
  </si>
  <si>
    <t xml:space="preserve">Radial Thickness of the Ring (t1): </t>
  </si>
  <si>
    <t>0.179 in.</t>
  </si>
  <si>
    <t xml:space="preserve">Axial Thickness of Ring (t2): </t>
  </si>
  <si>
    <t>Width of the Top Land (b1):</t>
  </si>
  <si>
    <t>0.726 in.</t>
  </si>
  <si>
    <t>Width of the other Lands (b2):</t>
  </si>
  <si>
    <t>0.134 in.</t>
  </si>
  <si>
    <t xml:space="preserve">Maximum Thickness of Barrel (t3): </t>
  </si>
  <si>
    <t xml:space="preserve">0.480 in. </t>
  </si>
  <si>
    <t>Fork Cross Sectional Area</t>
  </si>
  <si>
    <t>Piston Wall Thickness Towards the Open End (t4):</t>
  </si>
  <si>
    <t>0.163 in.</t>
  </si>
  <si>
    <t xml:space="preserve">Gap between the rings (tL): </t>
  </si>
  <si>
    <t xml:space="preserve">0.223 in. </t>
  </si>
  <si>
    <t>Reg Cross Sectional Area</t>
  </si>
  <si>
    <t>Second Ring:</t>
  </si>
  <si>
    <t>Depth of Ring Groove (Dr):</t>
  </si>
  <si>
    <t>0.194 in.</t>
  </si>
  <si>
    <t>Length of Piston Skirt (Lps):</t>
  </si>
  <si>
    <t>2.031 in.</t>
  </si>
  <si>
    <t>R = r/a</t>
  </si>
  <si>
    <t>Length of Piston (L):</t>
  </si>
  <si>
    <t>Cylinder Angle</t>
  </si>
  <si>
    <t>3.562 in.</t>
  </si>
  <si>
    <t>Crankpin Offset</t>
  </si>
  <si>
    <t>Cylinder Bore</t>
  </si>
  <si>
    <t>in</t>
  </si>
  <si>
    <t>Clarissa</t>
  </si>
  <si>
    <t>CDR slide 9 equations</t>
  </si>
  <si>
    <t>Piston Pin Diameter (Pdo):</t>
  </si>
  <si>
    <t>1.137 in.</t>
  </si>
  <si>
    <t>Diameter of Thickening of Piston Pin (d):</t>
  </si>
  <si>
    <t>1.219 in.</t>
  </si>
  <si>
    <t>Design Force</t>
  </si>
  <si>
    <t>Cylinder Stroke</t>
  </si>
  <si>
    <t>Depth of Thickening of Piston Pin (b):</t>
  </si>
  <si>
    <t>Bore/Stroke Ratio</t>
  </si>
  <si>
    <t>-</t>
  </si>
  <si>
    <t>Rod Ratio</t>
  </si>
  <si>
    <t>Calculations Tab 1</t>
  </si>
  <si>
    <t>Connecting Rod</t>
  </si>
  <si>
    <t>Crankpin Offset Angle</t>
  </si>
  <si>
    <t>degrees</t>
  </si>
  <si>
    <t>Mere</t>
  </si>
  <si>
    <t>equation from link</t>
  </si>
  <si>
    <t>https://www.cycleworld.com/2016/02/01/motorcycle-v-twin-and-parallel-twin-and-flat-twin-engine-tech-sound-insights#page-4</t>
  </si>
  <si>
    <t>kN</t>
  </si>
  <si>
    <t>Max Pressure</t>
  </si>
  <si>
    <t>r = connecting rod length = R*a</t>
  </si>
  <si>
    <t>X = 180 - (2*V_angle)</t>
  </si>
  <si>
    <t>Connecting Rod Length</t>
  </si>
  <si>
    <t>Pulkrabek PDT pg. 50</t>
  </si>
  <si>
    <t>Yield Strength</t>
  </si>
  <si>
    <t>Piston-Connecting Rod Interface Diameter</t>
  </si>
  <si>
    <t>Adam</t>
  </si>
  <si>
    <t>Calculations Force Analysis Tab</t>
  </si>
  <si>
    <t>The following 4 values add up to the minimum 800 sq mm cross sectional area requirement needed from the force analysis</t>
  </si>
  <si>
    <t>Piston-Connecting Rod Interface Width</t>
  </si>
  <si>
    <t>Calculation Force Analysis Tab</t>
  </si>
  <si>
    <t>MPa</t>
  </si>
  <si>
    <t>Temperature</t>
  </si>
  <si>
    <t>a = crank offset = S/2</t>
  </si>
  <si>
    <t>Connecting Rod Crankshaft Interface Diameter</t>
  </si>
  <si>
    <t>Required Cross Sectional Area</t>
  </si>
  <si>
    <t>Connecting Rod Crankshaft Interface Width</t>
  </si>
  <si>
    <t>Forked Connecting Rod Crankshaft Interface Width</t>
  </si>
  <si>
    <t>Crank Offset</t>
  </si>
  <si>
    <t>PDF Pg. 50 Pulkrabek</t>
  </si>
  <si>
    <t>cm</t>
  </si>
  <si>
    <t>Oil Hole Diameter</t>
  </si>
  <si>
    <t>Rex</t>
  </si>
  <si>
    <t>mm^2</t>
  </si>
  <si>
    <t>Crankshaft</t>
  </si>
  <si>
    <t>Cylinder Spacing</t>
  </si>
  <si>
    <t>R = 3</t>
  </si>
  <si>
    <t>James</t>
  </si>
  <si>
    <t>Hoag ch 16, p. 16</t>
  </si>
  <si>
    <t>Crankpin (Conrod-Crankshaft) Diameter</t>
  </si>
  <si>
    <t>Hoag ch 16, p. 17</t>
  </si>
  <si>
    <t>in^2</t>
  </si>
  <si>
    <t>Crankpin Journal Width</t>
  </si>
  <si>
    <t>Hoag ch 16, p. 18</t>
  </si>
  <si>
    <t>Main Journal Diameter</t>
  </si>
  <si>
    <t>Actual Cross Sectional Area</t>
  </si>
  <si>
    <t>Hoag ch 16, p. 19</t>
  </si>
  <si>
    <t>Variable</t>
  </si>
  <si>
    <t>Value (in)</t>
  </si>
  <si>
    <t>Value (cm)</t>
  </si>
  <si>
    <t>Description</t>
  </si>
  <si>
    <t>Main Journal Width</t>
  </si>
  <si>
    <t>Hoag ch 16, p. 20</t>
  </si>
  <si>
    <t>Web (cheek) Thickness</t>
  </si>
  <si>
    <t>S</t>
  </si>
  <si>
    <t>Hoag ch 16, p. 21</t>
  </si>
  <si>
    <t>Crankpin fillet</t>
  </si>
  <si>
    <t>Stroke length</t>
  </si>
  <si>
    <t>Safety Factor</t>
  </si>
  <si>
    <t>Hoag ch 16, p. 22</t>
  </si>
  <si>
    <t>Main fillet</t>
  </si>
  <si>
    <t>Hoag Eqn. 16.1</t>
  </si>
  <si>
    <t>Pin Overlap</t>
  </si>
  <si>
    <t>Offset of Rod Journal</t>
  </si>
  <si>
    <t>stroke / 2</t>
  </si>
  <si>
    <t>Counterweight</t>
  </si>
  <si>
    <t>R</t>
  </si>
  <si>
    <t>Linear offset of cranks</t>
  </si>
  <si>
    <t>Ratio of conrod length to crank offset</t>
  </si>
  <si>
    <t>a</t>
  </si>
  <si>
    <t>Mean Piston Speed</t>
  </si>
  <si>
    <t>Valvetrain</t>
  </si>
  <si>
    <t>crank offset</t>
  </si>
  <si>
    <t>Ring Hoop Thickness</t>
  </si>
  <si>
    <t>r</t>
  </si>
  <si>
    <t>Cam</t>
  </si>
  <si>
    <t>Valve lift (ex) = Rlg - Rsm</t>
  </si>
  <si>
    <t>Arbitrary</t>
  </si>
  <si>
    <t>conrod length</t>
  </si>
  <si>
    <t>Tensile Reciprocating Force</t>
  </si>
  <si>
    <t>Shaft Diameter</t>
  </si>
  <si>
    <t>https://www.google.com/search?q=diameter+of+camshaft&amp;oq=diameter+of+camshaft&amp;aqs=chrome..69i57j0.3848j0j7&amp;sourceid=chrome&amp;ie=UTF-8</t>
  </si>
  <si>
    <t>N</t>
  </si>
  <si>
    <t>Shear Strength</t>
  </si>
  <si>
    <t>Pa</t>
  </si>
  <si>
    <t>Rod Length/Stroke</t>
  </si>
  <si>
    <t>Shaft Length</t>
  </si>
  <si>
    <t>Thickness</t>
  </si>
  <si>
    <t>Diameter</t>
  </si>
  <si>
    <t>Rocker</t>
  </si>
  <si>
    <t>Rocker Ratio (Intake)</t>
  </si>
  <si>
    <t>Rocker Ratio (Exhaust)</t>
  </si>
  <si>
    <t>cm^2</t>
  </si>
  <si>
    <t>Valve Angle (btw valves)</t>
  </si>
  <si>
    <t>Engine Block</t>
  </si>
  <si>
    <t>Max Angles</t>
  </si>
  <si>
    <t>(deg)</t>
  </si>
  <si>
    <t>Sm end w/ vertical</t>
  </si>
  <si>
    <t>Injection</t>
  </si>
  <si>
    <t>Intake valves</t>
  </si>
  <si>
    <t>head diameter</t>
  </si>
  <si>
    <t>Lg end w/horiz</t>
  </si>
  <si>
    <t>Grace</t>
  </si>
  <si>
    <t>Chapter 6 Heywood</t>
  </si>
  <si>
    <t>.36*bore</t>
  </si>
  <si>
    <t>Inner seat diameter</t>
  </si>
  <si>
    <t>Heywood</t>
  </si>
  <si>
    <t>D/1.095</t>
  </si>
  <si>
    <t>Stem diameter</t>
  </si>
  <si>
    <t>.21*Dseat</t>
  </si>
  <si>
    <t>Valve lift</t>
  </si>
  <si>
    <t>R.S. Khurmi and J.K. Gupta</t>
  </si>
  <si>
    <t>Dport/(4cos(45))</t>
  </si>
  <si>
    <t>Seat Width</t>
  </si>
  <si>
    <t>Mike</t>
  </si>
  <si>
    <t>Mean Seat Diameter</t>
  </si>
  <si>
    <t>Heywood 6.8</t>
  </si>
  <si>
    <t>Valve curtain area</t>
  </si>
  <si>
    <t>Hoag</t>
  </si>
  <si>
    <t>pi*D*.98*Lift</t>
  </si>
  <si>
    <t>Port area</t>
  </si>
  <si>
    <t>pi/4*(seat Diameter^2 - Stem Diam ^2)</t>
  </si>
  <si>
    <t>Valve stem length</t>
  </si>
  <si>
    <t>Port diameter</t>
  </si>
  <si>
    <t>d=2*sqrt(PortArea/pi)</t>
  </si>
  <si>
    <t>Seat angle</t>
  </si>
  <si>
    <t>Based off Heywood</t>
  </si>
  <si>
    <t>Overall thickness of head</t>
  </si>
  <si>
    <t>.1*D</t>
  </si>
  <si>
    <t>Intake Spring</t>
  </si>
  <si>
    <t>Total load on valve spring</t>
  </si>
  <si>
    <t>lb</t>
  </si>
  <si>
    <t>Internal Combustion Engine Parts</t>
  </si>
  <si>
    <t>Diameter of wire</t>
  </si>
  <si>
    <t>Mean diameter of spring coil</t>
  </si>
  <si>
    <t>Outer diameter of spring coil</t>
  </si>
  <si>
    <t>Turns in coil</t>
  </si>
  <si>
    <t>turns</t>
  </si>
  <si>
    <t>turns in coil (squared &amp; ground ends)</t>
  </si>
  <si>
    <t>Max compression produced</t>
  </si>
  <si>
    <t>Free length</t>
  </si>
  <si>
    <t>Pitch of coil</t>
  </si>
  <si>
    <t>spring constant (k)</t>
  </si>
  <si>
    <t>lb/in</t>
  </si>
  <si>
    <t>Motion study</t>
  </si>
  <si>
    <t>Exhaust valves</t>
  </si>
  <si>
    <t>.3*bore</t>
  </si>
  <si>
    <t>D/1.105</t>
  </si>
  <si>
    <t>.24*Dseat</t>
  </si>
  <si>
    <t>heywood 6.8</t>
  </si>
  <si>
    <t>heywood</t>
  </si>
  <si>
    <t>pi/4*(seat Diam^2 - Stem Diam ^2)</t>
  </si>
  <si>
    <t>.09*Seat Diameter</t>
  </si>
  <si>
    <t>Exhaust Spring</t>
  </si>
  <si>
    <t>Spring constant (k)</t>
  </si>
  <si>
    <t>Exhaust</t>
  </si>
  <si>
    <t xml:space="preserve">AQS    BHV C  </t>
  </si>
  <si>
    <t>Cooling</t>
  </si>
  <si>
    <t>Lubrication</t>
  </si>
  <si>
    <t>Air Intake</t>
  </si>
  <si>
    <t>Combustion Force (Ideal)</t>
  </si>
  <si>
    <t>Combusiton Force (Non Ideal)</t>
  </si>
  <si>
    <t>Max Pressure from ideal (Pa)</t>
  </si>
  <si>
    <t>Max Presssure non ideal (Pa)</t>
  </si>
  <si>
    <t>kPa</t>
  </si>
  <si>
    <t>Bore (m)</t>
  </si>
  <si>
    <t>m</t>
  </si>
  <si>
    <t>Piston Head Area (m^2)</t>
  </si>
  <si>
    <t>m^2</t>
  </si>
  <si>
    <t>Combustion Force (N)</t>
  </si>
  <si>
    <t>Combusiton Force (N)</t>
  </si>
  <si>
    <t>Design Load (kN)</t>
  </si>
  <si>
    <t>Reciprocating Force (tensile)</t>
  </si>
  <si>
    <t>Reciprocating Force (compressive)</t>
  </si>
  <si>
    <t>Reciprocating Force (tensile) y-fork</t>
  </si>
  <si>
    <t>Reciprocating Force (compressive) y-fork</t>
  </si>
  <si>
    <t>Piston Mass</t>
  </si>
  <si>
    <t>kg</t>
  </si>
  <si>
    <t>Pistion Mass</t>
  </si>
  <si>
    <t>ConRod Mass</t>
  </si>
  <si>
    <t>Y-ConRod Mass</t>
  </si>
  <si>
    <t>Crank Radius (stroke/2)</t>
  </si>
  <si>
    <t>ConRod Length (pin to pin, measured from centerpoints)</t>
  </si>
  <si>
    <t>Angular Velocity</t>
  </si>
  <si>
    <t>rad/sec</t>
  </si>
  <si>
    <t>Theta</t>
  </si>
  <si>
    <t>rad</t>
  </si>
  <si>
    <t>Lambda</t>
  </si>
  <si>
    <t>Gas Force</t>
  </si>
  <si>
    <t>Helpful Constants</t>
  </si>
  <si>
    <t>density</t>
  </si>
  <si>
    <t>kg/m^3</t>
  </si>
  <si>
    <t>g/cm^3</t>
  </si>
  <si>
    <t>Beam Force</t>
  </si>
  <si>
    <t>Normal Volume</t>
  </si>
  <si>
    <t>cm^3</t>
  </si>
  <si>
    <t>Reg</t>
  </si>
  <si>
    <t>in^3</t>
  </si>
  <si>
    <t>Fork</t>
  </si>
  <si>
    <t>Redline</t>
  </si>
  <si>
    <t>rpm</t>
  </si>
  <si>
    <t>Max Moment</t>
  </si>
  <si>
    <t>rad/s</t>
  </si>
  <si>
    <t>Nm</t>
  </si>
  <si>
    <t>Stroke</t>
  </si>
  <si>
    <t>Tensile Strength</t>
  </si>
  <si>
    <t>Critical Force</t>
  </si>
  <si>
    <t>Johnson Buckling</t>
  </si>
  <si>
    <t>Forked Volume</t>
  </si>
  <si>
    <t>Euler Buckling</t>
  </si>
  <si>
    <t>Izz</t>
  </si>
  <si>
    <t>kg*m^2</t>
  </si>
  <si>
    <t>lb*in^2</t>
  </si>
  <si>
    <t>Rankin Buckling</t>
  </si>
  <si>
    <t>Modulus of Elasticity</t>
  </si>
  <si>
    <t>GPa</t>
  </si>
  <si>
    <t>xx M of I</t>
  </si>
  <si>
    <t>Max Static Load on Piston End (both)</t>
  </si>
  <si>
    <t>mass</t>
  </si>
  <si>
    <t>Rad of Gyr</t>
  </si>
  <si>
    <t>Max Static Load on Crank End (Reg)</t>
  </si>
  <si>
    <t>Max Static Load on Crank End (Fork)</t>
  </si>
  <si>
    <t>Slend Ratio</t>
  </si>
  <si>
    <t>Crankshaft Diameter</t>
  </si>
  <si>
    <t>Test Value 16.39</t>
  </si>
  <si>
    <t>Piston Pin Diameter</t>
  </si>
  <si>
    <t>Bearing Length Reg</t>
  </si>
  <si>
    <t>Forked Cross Sectional Area</t>
  </si>
  <si>
    <t>Bearing Length Fork</t>
  </si>
  <si>
    <t>Oil Viscosity</t>
  </si>
  <si>
    <t>Max RPM</t>
  </si>
  <si>
    <t>Min RPM</t>
  </si>
  <si>
    <t>Forked Max Force</t>
  </si>
  <si>
    <t>L/D Ratio Crank</t>
  </si>
  <si>
    <t>L/D Ratio Piston</t>
  </si>
  <si>
    <t>Forked Factor of Safety</t>
  </si>
  <si>
    <t>Needed Dimensions</t>
  </si>
  <si>
    <t>Bore</t>
  </si>
  <si>
    <t>Required Inlet Area</t>
  </si>
  <si>
    <t>1 Cyl Displacement</t>
  </si>
  <si>
    <t>Total Displacement</t>
  </si>
  <si>
    <t>Redline RPM</t>
  </si>
  <si>
    <t>RPM</t>
  </si>
  <si>
    <t>Redline RPS</t>
  </si>
  <si>
    <t>RPS</t>
  </si>
  <si>
    <t>Volume Per Second</t>
  </si>
  <si>
    <t>cm^3/s</t>
  </si>
  <si>
    <t>m^3/s</t>
  </si>
  <si>
    <t>Density</t>
  </si>
  <si>
    <t>Mass Flow per Second</t>
  </si>
  <si>
    <t>kg/s</t>
  </si>
  <si>
    <t>Intake Pressure</t>
  </si>
  <si>
    <t>kg/m*s^2</t>
  </si>
  <si>
    <t>N=kgm/s^2</t>
  </si>
  <si>
    <t>Pa=kg/m*s^2</t>
  </si>
  <si>
    <t>Chain Length based on Center-to-Center distance</t>
  </si>
  <si>
    <t>Emotor</t>
  </si>
  <si>
    <t>Horspower needed to be transmitted to Camshaft (using Genesis's Group Report)</t>
  </si>
  <si>
    <t>Parameters</t>
  </si>
  <si>
    <t>W</t>
  </si>
  <si>
    <t>w_diff</t>
  </si>
  <si>
    <t>Value</t>
  </si>
  <si>
    <t>thickness</t>
  </si>
  <si>
    <t>Center-to-Center Distance (in)</t>
  </si>
  <si>
    <t>Ework</t>
  </si>
  <si>
    <t>C</t>
  </si>
  <si>
    <t>w1</t>
  </si>
  <si>
    <t>Inner radius</t>
  </si>
  <si>
    <t>Eflywheel</t>
  </si>
  <si>
    <t>w2</t>
  </si>
  <si>
    <t>outer radius</t>
  </si>
  <si>
    <t>Spring Constant</t>
  </si>
  <si>
    <t>k</t>
  </si>
  <si>
    <t>J</t>
  </si>
  <si>
    <t>Number of Teeth (Large Sprocket)</t>
  </si>
  <si>
    <t>w_mean</t>
  </si>
  <si>
    <t>Lift</t>
  </si>
  <si>
    <t>Lv(theta)</t>
  </si>
  <si>
    <t>I</t>
  </si>
  <si>
    <t>mm</t>
  </si>
  <si>
    <t>Number of Teeth (Small Sprocket)</t>
  </si>
  <si>
    <t>n</t>
  </si>
  <si>
    <t>Pressure Angle</t>
  </si>
  <si>
    <t>phi</t>
  </si>
  <si>
    <t>CdA</t>
  </si>
  <si>
    <t>p</t>
  </si>
  <si>
    <t>v</t>
  </si>
  <si>
    <t>km/h</t>
  </si>
  <si>
    <t>m/s</t>
  </si>
  <si>
    <t>Length of Chain in Pitches</t>
  </si>
  <si>
    <t>L</t>
  </si>
  <si>
    <t>Prime Radius</t>
  </si>
  <si>
    <t>Rp</t>
  </si>
  <si>
    <t>Cf</t>
  </si>
  <si>
    <t>Pitch of Chain</t>
  </si>
  <si>
    <t>Pressure (kPa)</t>
  </si>
  <si>
    <t>Vdot (m^3/s)</t>
  </si>
  <si>
    <t>Avg energy (W)</t>
  </si>
  <si>
    <t>Overall Average Energy</t>
  </si>
  <si>
    <t>P</t>
  </si>
  <si>
    <t>Intake</t>
  </si>
  <si>
    <t>Spring Preload</t>
  </si>
  <si>
    <t>Max fluctuation</t>
  </si>
  <si>
    <t>c-c in pitches</t>
  </si>
  <si>
    <t>Compression</t>
  </si>
  <si>
    <t>Force</t>
  </si>
  <si>
    <t>F</t>
  </si>
  <si>
    <t>Power</t>
  </si>
  <si>
    <t>Friction Force</t>
  </si>
  <si>
    <t>lbf</t>
  </si>
  <si>
    <t>atmosphere</t>
  </si>
  <si>
    <t>Piston losses</t>
  </si>
  <si>
    <t>length in inches</t>
  </si>
  <si>
    <t>Lever Arm</t>
  </si>
  <si>
    <t>Chem Energy</t>
  </si>
  <si>
    <t>mFuel</t>
  </si>
  <si>
    <t>J/lb</t>
  </si>
  <si>
    <t>Energy density</t>
  </si>
  <si>
    <t>kW</t>
  </si>
  <si>
    <t>rev/min</t>
  </si>
  <si>
    <t>FS</t>
  </si>
  <si>
    <t>Pout</t>
  </si>
  <si>
    <t>Mean Piston spd</t>
  </si>
  <si>
    <t>Time</t>
  </si>
  <si>
    <t>kJ</t>
  </si>
  <si>
    <t>Vdot</t>
  </si>
  <si>
    <t>Torque</t>
  </si>
  <si>
    <t>T</t>
  </si>
  <si>
    <t>Eout</t>
  </si>
  <si>
    <t>lb in</t>
  </si>
  <si>
    <t>Fnet,in</t>
  </si>
  <si>
    <t>time</t>
  </si>
  <si>
    <t>s</t>
  </si>
  <si>
    <t>Losses</t>
  </si>
  <si>
    <t>hp</t>
  </si>
  <si>
    <t>Fnet,ex</t>
  </si>
  <si>
    <t>Fpre,in</t>
  </si>
  <si>
    <t>Fpre,ex</t>
  </si>
  <si>
    <t>Kin</t>
  </si>
  <si>
    <t>Kex</t>
  </si>
  <si>
    <t>Xpre,in</t>
  </si>
  <si>
    <t>Xpre,ex</t>
  </si>
  <si>
    <t>Camshaft Torque and Horspower (T = k * x^2)</t>
  </si>
  <si>
    <t>small sprocket diameter</t>
  </si>
  <si>
    <t>Valve displacement</t>
  </si>
  <si>
    <t>x</t>
  </si>
  <si>
    <t>large sprocket diameter</t>
  </si>
  <si>
    <t>ft lb</t>
  </si>
  <si>
    <t>min c-c distance</t>
  </si>
  <si>
    <t>Alt HP</t>
  </si>
  <si>
    <t>HP</t>
  </si>
  <si>
    <t>HP w SF</t>
  </si>
  <si>
    <t>lever arm</t>
  </si>
  <si>
    <t>torque</t>
  </si>
  <si>
    <t xml:space="preserve">Quick Selector Chart </t>
  </si>
  <si>
    <t>Pitch</t>
  </si>
  <si>
    <t>Tension</t>
  </si>
  <si>
    <t>large Sprocket RPM</t>
  </si>
  <si>
    <t>large Sprocket Teeth</t>
  </si>
  <si>
    <t>teeth</t>
  </si>
  <si>
    <t>Linear Chain Speed</t>
  </si>
  <si>
    <t>ft/min</t>
  </si>
  <si>
    <t>t</t>
  </si>
  <si>
    <t>in lb</t>
  </si>
  <si>
    <t>Horsepower</t>
  </si>
  <si>
    <t>Working Load</t>
  </si>
  <si>
    <t>WL</t>
  </si>
  <si>
    <t>Working load of chain is 134 lb, so this is well under the limit</t>
  </si>
  <si>
    <t xml:space="preserve">For continuous use max load is 1/8 of that, or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</si>
</sst>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000"/>
    <numFmt numFmtId="167" formatCode="0.0000"/>
    <numFmt numFmtId="168" formatCode="0.00000"/>
  </numFmts>
  <fonts count="11">
    <font>
      <sz val="10.0"/>
      <color rgb="FF000000"/>
      <name val="Arial"/>
    </font>
    <font/>
    <font>
      <name val="Arial"/>
    </font>
    <font>
      <b/>
    </font>
    <font>
      <b/>
      <i/>
      <color rgb="FFFF0000"/>
    </font>
    <font>
      <u/>
      <color rgb="FF0000FF"/>
    </font>
    <font>
      <b/>
      <name val="Arial"/>
    </font>
    <font>
      <i/>
    </font>
    <font>
      <color rgb="FF000000"/>
    </font>
    <font>
      <sz val="11.0"/>
      <color rgb="FF000000"/>
      <name val="Inconsolata"/>
    </font>
    <font>
      <sz val="11.0"/>
      <color rgb="FF1155CC"/>
      <name val="Inconsolata"/>
    </font>
  </fonts>
  <fills count="14">
    <fill>
      <patternFill patternType="none"/>
    </fill>
    <fill>
      <patternFill patternType="lightGray"/>
    </fill>
    <fill>
      <patternFill patternType="solid">
        <fgColor rgb="FFD9D9D9"/>
        <bgColor rgb="FFD9D9D9"/>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E06666"/>
        <bgColor rgb="FFE06666"/>
      </patternFill>
    </fill>
    <fill>
      <patternFill patternType="solid">
        <fgColor rgb="FFA4C2F4"/>
        <bgColor rgb="FFA4C2F4"/>
      </patternFill>
    </fill>
    <fill>
      <patternFill patternType="solid">
        <fgColor rgb="FFFFFF00"/>
        <bgColor rgb="FFFFFF00"/>
      </patternFill>
    </fill>
    <fill>
      <patternFill patternType="solid">
        <fgColor rgb="FFB6D7A8"/>
        <bgColor rgb="FFB6D7A8"/>
      </patternFill>
    </fill>
    <fill>
      <patternFill patternType="solid">
        <fgColor rgb="FFD5A6BD"/>
        <bgColor rgb="FFD5A6BD"/>
      </patternFill>
    </fill>
    <fill>
      <patternFill patternType="solid">
        <fgColor rgb="FFD9D2E9"/>
        <bgColor rgb="FFD9D2E9"/>
      </patternFill>
    </fill>
    <fill>
      <patternFill patternType="solid">
        <fgColor rgb="FF9FC5E8"/>
        <bgColor rgb="FF9FC5E8"/>
      </patternFill>
    </fill>
    <fill>
      <patternFill patternType="solid">
        <fgColor rgb="FFC9DAF8"/>
        <bgColor rgb="FFC9DAF8"/>
      </patternFill>
    </fill>
  </fills>
  <borders count="20">
    <border/>
    <border>
      <bottom style="thin">
        <color rgb="FF000000"/>
      </bottom>
    </border>
    <border>
      <right style="thin">
        <color rgb="FF000000"/>
      </right>
    </border>
    <border>
      <left style="thin">
        <color rgb="FFFF0000"/>
      </left>
      <top style="thin">
        <color rgb="FFFF0000"/>
      </top>
      <bottom style="thin">
        <color rgb="FFFF0000"/>
      </bottom>
    </border>
    <border>
      <top style="thin">
        <color rgb="FFFF0000"/>
      </top>
      <bottom style="thin">
        <color rgb="FFFF0000"/>
      </bottom>
    </border>
    <border>
      <right style="thin">
        <color rgb="FF000000"/>
      </right>
      <bottom style="thin">
        <color rgb="FF000000"/>
      </bottom>
    </border>
    <border>
      <right style="thin">
        <color rgb="FFFF0000"/>
      </right>
      <top style="thin">
        <color rgb="FFFF0000"/>
      </top>
      <bottom style="thin">
        <color rgb="FFFF0000"/>
      </bottom>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vertical="bottom"/>
    </xf>
    <xf borderId="0" fillId="0" fontId="3" numFmtId="0" xfId="0" applyAlignment="1" applyFont="1">
      <alignment horizontal="center" readingOrder="0" shrinkToFit="0" vertical="center" wrapText="1"/>
    </xf>
    <xf borderId="1" fillId="0" fontId="2" numFmtId="0" xfId="0" applyAlignment="1" applyBorder="1" applyFont="1">
      <alignment vertical="bottom"/>
    </xf>
    <xf borderId="0" fillId="0" fontId="1" numFmtId="0" xfId="0" applyAlignment="1" applyFont="1">
      <alignment horizontal="center" shrinkToFit="0" vertical="center" wrapText="1"/>
    </xf>
    <xf borderId="2" fillId="0" fontId="2" numFmtId="0" xfId="0" applyAlignment="1" applyBorder="1" applyFont="1">
      <alignment vertical="bottom"/>
    </xf>
    <xf borderId="3" fillId="0" fontId="4" numFmtId="0" xfId="0" applyAlignment="1" applyBorder="1" applyFont="1">
      <alignment horizontal="center" readingOrder="0" shrinkToFit="0" vertical="center" wrapText="1"/>
    </xf>
    <xf borderId="1" fillId="2" fontId="2" numFmtId="0" xfId="0" applyAlignment="1" applyBorder="1" applyFill="1" applyFont="1">
      <alignment horizontal="center" vertical="bottom"/>
    </xf>
    <xf borderId="0" fillId="0" fontId="1" numFmtId="0" xfId="0" applyAlignment="1" applyFont="1">
      <alignment horizontal="center" readingOrder="0"/>
    </xf>
    <xf borderId="1" fillId="0" fontId="1" numFmtId="0" xfId="0" applyBorder="1" applyFont="1"/>
    <xf borderId="4" fillId="0" fontId="1" numFmtId="0" xfId="0" applyBorder="1" applyFont="1"/>
    <xf borderId="5" fillId="0" fontId="1" numFmtId="0" xfId="0" applyBorder="1" applyFont="1"/>
    <xf borderId="6" fillId="0" fontId="1" numFmtId="0" xfId="0" applyBorder="1" applyFont="1"/>
    <xf borderId="0" fillId="2" fontId="2" numFmtId="0" xfId="0" applyAlignment="1" applyFont="1">
      <alignment horizontal="center" readingOrder="0" vertical="bottom"/>
    </xf>
    <xf borderId="0" fillId="2" fontId="2" numFmtId="0" xfId="0" applyAlignment="1" applyFont="1">
      <alignment readingOrder="0" vertical="bottom"/>
    </xf>
    <xf borderId="0" fillId="0" fontId="1" numFmtId="0" xfId="0" applyAlignment="1" applyFont="1">
      <alignment horizontal="center" readingOrder="0" shrinkToFit="0" vertical="center" wrapText="1"/>
    </xf>
    <xf borderId="0" fillId="0" fontId="2" numFmtId="164" xfId="0" applyAlignment="1" applyFont="1" applyNumberFormat="1">
      <alignment horizontal="right" vertical="bottom"/>
    </xf>
    <xf borderId="0" fillId="0" fontId="2" numFmtId="0" xfId="0" applyAlignment="1" applyFont="1">
      <alignment readingOrder="0" vertical="bottom"/>
    </xf>
    <xf borderId="0" fillId="0" fontId="2" numFmtId="164" xfId="0" applyAlignment="1" applyFont="1" applyNumberFormat="1">
      <alignment vertical="bottom"/>
    </xf>
    <xf borderId="0" fillId="0" fontId="5" numFmtId="0" xfId="0" applyAlignment="1" applyFont="1">
      <alignment horizontal="center" readingOrder="0" shrinkToFit="0" vertical="center" wrapText="1"/>
    </xf>
    <xf borderId="7" fillId="0" fontId="2" numFmtId="0" xfId="0" applyAlignment="1" applyBorder="1" applyFont="1">
      <alignment shrinkToFit="0" vertical="bottom" wrapText="0"/>
    </xf>
    <xf borderId="0" fillId="0" fontId="1" numFmtId="0" xfId="0" applyAlignment="1" applyFont="1">
      <alignment horizontal="center" readingOrder="0" vertical="center"/>
    </xf>
    <xf borderId="0" fillId="0" fontId="2" numFmtId="0" xfId="0" applyAlignment="1" applyFont="1">
      <alignment horizontal="right" vertical="bottom"/>
    </xf>
    <xf borderId="0" fillId="0" fontId="2" numFmtId="0" xfId="0" applyAlignment="1" applyFont="1">
      <alignment shrinkToFit="0" vertical="bottom" wrapText="1"/>
    </xf>
    <xf borderId="0" fillId="3" fontId="2" numFmtId="0" xfId="0" applyAlignment="1" applyFill="1" applyFont="1">
      <alignment horizontal="right" readingOrder="0" vertical="bottom"/>
    </xf>
    <xf borderId="0" fillId="0" fontId="2" numFmtId="0" xfId="0" applyAlignment="1" applyFont="1">
      <alignment readingOrder="0" shrinkToFit="0" vertical="bottom" wrapText="1"/>
    </xf>
    <xf borderId="0" fillId="3" fontId="2" numFmtId="164" xfId="0" applyAlignment="1" applyFont="1" applyNumberFormat="1">
      <alignment horizontal="right" vertical="bottom"/>
    </xf>
    <xf borderId="0" fillId="0" fontId="1" numFmtId="0" xfId="0" applyAlignment="1" applyFont="1">
      <alignment horizontal="center" readingOrder="0" shrinkToFit="0" vertical="center" wrapText="1"/>
    </xf>
    <xf borderId="0" fillId="0" fontId="2" numFmtId="165" xfId="0" applyAlignment="1" applyFont="1" applyNumberFormat="1">
      <alignment vertical="bottom"/>
    </xf>
    <xf borderId="5" fillId="0" fontId="2" numFmtId="0" xfId="0" applyAlignment="1" applyBorder="1" applyFont="1">
      <alignment vertical="bottom"/>
    </xf>
    <xf borderId="2" fillId="0" fontId="6" numFmtId="0" xfId="0" applyAlignment="1" applyBorder="1" applyFont="1">
      <alignment horizontal="right" vertical="bottom"/>
    </xf>
    <xf borderId="2" fillId="0" fontId="2" numFmtId="0" xfId="0" applyAlignment="1" applyBorder="1" applyFont="1">
      <alignment horizontal="right" vertical="bottom"/>
    </xf>
    <xf borderId="0" fillId="0" fontId="7" numFmtId="0" xfId="0" applyAlignment="1" applyFont="1">
      <alignment horizontal="center" readingOrder="0" shrinkToFit="0" vertical="center" wrapText="1"/>
    </xf>
    <xf borderId="8" fillId="0" fontId="4" numFmtId="0" xfId="0" applyAlignment="1" applyBorder="1" applyFont="1">
      <alignment horizontal="center" readingOrder="0" shrinkToFit="0" vertical="center" wrapText="1"/>
    </xf>
    <xf borderId="0" fillId="2" fontId="2" numFmtId="0" xfId="0" applyAlignment="1" applyFont="1">
      <alignment horizontal="center" vertical="bottom"/>
    </xf>
    <xf borderId="9" fillId="0" fontId="1" numFmtId="0" xfId="0" applyBorder="1" applyFont="1"/>
    <xf borderId="10" fillId="0" fontId="1" numFmtId="0" xfId="0" applyBorder="1" applyFont="1"/>
    <xf borderId="5" fillId="0" fontId="2" numFmtId="0" xfId="0" applyAlignment="1" applyBorder="1" applyFont="1">
      <alignment horizontal="right" vertical="bottom"/>
    </xf>
    <xf borderId="0" fillId="0" fontId="1" numFmtId="0" xfId="0" applyAlignment="1" applyFont="1">
      <alignment horizontal="center" vertical="center"/>
    </xf>
    <xf borderId="0" fillId="0" fontId="2" numFmtId="164" xfId="0" applyAlignment="1" applyFont="1" applyNumberFormat="1">
      <alignment horizontal="right" readingOrder="0" vertical="bottom"/>
    </xf>
    <xf borderId="0" fillId="0" fontId="2" numFmtId="0" xfId="0" applyAlignment="1" applyFont="1">
      <alignment shrinkToFit="0" wrapText="1"/>
    </xf>
    <xf borderId="0" fillId="0" fontId="2" numFmtId="166" xfId="0" applyAlignment="1" applyFont="1" applyNumberFormat="1">
      <alignment horizontal="right" vertical="bottom"/>
    </xf>
    <xf borderId="0" fillId="0" fontId="2" numFmtId="2" xfId="0" applyAlignment="1" applyFont="1" applyNumberFormat="1">
      <alignment horizontal="right" vertical="bottom"/>
    </xf>
    <xf borderId="0" fillId="4" fontId="1" numFmtId="0" xfId="0" applyAlignment="1" applyFill="1" applyFont="1">
      <alignment horizontal="center" readingOrder="0" vertical="center"/>
    </xf>
    <xf borderId="0" fillId="5" fontId="1" numFmtId="165" xfId="0" applyAlignment="1" applyFill="1" applyFont="1" applyNumberFormat="1">
      <alignment horizontal="center" readingOrder="0" vertical="center"/>
    </xf>
    <xf borderId="0" fillId="0" fontId="1" numFmtId="165" xfId="0" applyAlignment="1" applyFont="1" applyNumberFormat="1">
      <alignment horizontal="center" readingOrder="0" vertical="center"/>
    </xf>
    <xf borderId="0" fillId="5" fontId="1"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5" fontId="1" numFmtId="167" xfId="0" applyAlignment="1" applyFont="1" applyNumberFormat="1">
      <alignment horizontal="center" readingOrder="0" vertical="center"/>
    </xf>
    <xf borderId="0" fillId="0" fontId="1" numFmtId="167" xfId="0" applyAlignment="1" applyFont="1" applyNumberFormat="1">
      <alignment horizontal="center" readingOrder="0" vertical="center"/>
    </xf>
    <xf borderId="0" fillId="0" fontId="4" numFmtId="0" xfId="0" applyAlignment="1" applyFont="1">
      <alignment horizontal="center" readingOrder="0" shrinkToFit="0" vertical="center" wrapText="1"/>
    </xf>
    <xf borderId="0" fillId="7" fontId="6" numFmtId="0" xfId="0" applyAlignment="1" applyFill="1" applyFont="1">
      <alignment vertical="bottom"/>
    </xf>
    <xf borderId="0" fillId="0" fontId="2" numFmtId="0" xfId="0" applyAlignment="1" applyFont="1">
      <alignment horizontal="right" readingOrder="0" vertical="bottom"/>
    </xf>
    <xf borderId="0" fillId="7" fontId="2" numFmtId="0" xfId="0" applyAlignment="1" applyFont="1">
      <alignment vertical="bottom"/>
    </xf>
    <xf borderId="0" fillId="7" fontId="2" numFmtId="164" xfId="0" applyAlignment="1" applyFont="1" applyNumberFormat="1">
      <alignment horizontal="right" vertical="bottom"/>
    </xf>
    <xf borderId="0" fillId="8" fontId="2" numFmtId="164" xfId="0" applyAlignment="1" applyFill="1" applyFont="1" applyNumberFormat="1">
      <alignment horizontal="right" vertical="bottom"/>
    </xf>
    <xf borderId="0" fillId="9" fontId="6" numFmtId="0" xfId="0" applyAlignment="1" applyFill="1" applyFont="1">
      <alignment vertical="bottom"/>
    </xf>
    <xf borderId="0" fillId="0" fontId="6" numFmtId="0" xfId="0" applyAlignment="1" applyFont="1">
      <alignment readingOrder="0" vertical="bottom"/>
    </xf>
    <xf borderId="0" fillId="9" fontId="6" numFmtId="0" xfId="0" applyAlignment="1" applyFont="1">
      <alignment readingOrder="0" vertical="bottom"/>
    </xf>
    <xf borderId="0" fillId="0" fontId="2" numFmtId="2" xfId="0" applyAlignment="1" applyFont="1" applyNumberFormat="1">
      <alignment vertical="bottom"/>
    </xf>
    <xf borderId="0" fillId="0" fontId="2" numFmtId="167" xfId="0" applyAlignment="1" applyFont="1" applyNumberFormat="1">
      <alignment horizontal="right" vertical="bottom"/>
    </xf>
    <xf borderId="0" fillId="0" fontId="2" numFmtId="167" xfId="0" applyAlignment="1" applyFont="1" applyNumberFormat="1">
      <alignment vertical="bottom"/>
    </xf>
    <xf borderId="0" fillId="0" fontId="2" numFmtId="165" xfId="0" applyAlignment="1" applyFont="1" applyNumberFormat="1">
      <alignment horizontal="right" readingOrder="0" vertical="bottom"/>
    </xf>
    <xf borderId="0" fillId="0" fontId="2" numFmtId="165" xfId="0" applyAlignment="1" applyFont="1" applyNumberFormat="1">
      <alignment horizontal="right" vertical="bottom"/>
    </xf>
    <xf borderId="0" fillId="9" fontId="2" numFmtId="0" xfId="0" applyAlignment="1" applyFont="1">
      <alignment shrinkToFit="0" vertical="center" wrapText="1"/>
    </xf>
    <xf borderId="0" fillId="9" fontId="2" numFmtId="164" xfId="0" applyAlignment="1" applyFont="1" applyNumberFormat="1">
      <alignment horizontal="right" vertical="bottom"/>
    </xf>
    <xf borderId="0" fillId="9" fontId="9" numFmtId="164" xfId="0" applyAlignment="1" applyFont="1" applyNumberFormat="1">
      <alignment horizontal="right" vertical="bottom"/>
    </xf>
    <xf borderId="0" fillId="10" fontId="3" numFmtId="0" xfId="0" applyAlignment="1" applyFill="1" applyFont="1">
      <alignment readingOrder="0"/>
    </xf>
    <xf borderId="0" fillId="0" fontId="2" numFmtId="0" xfId="0" applyAlignment="1" applyFont="1">
      <alignment vertical="center"/>
    </xf>
    <xf borderId="0" fillId="4" fontId="6" numFmtId="0" xfId="0" applyAlignment="1" applyFont="1">
      <alignment readingOrder="0" vertical="bottom"/>
    </xf>
    <xf borderId="0" fillId="4" fontId="2" numFmtId="0" xfId="0" applyAlignment="1" applyFont="1">
      <alignment vertical="bottom"/>
    </xf>
    <xf borderId="0" fillId="0" fontId="2" numFmtId="0" xfId="0" applyAlignment="1" applyFont="1">
      <alignment readingOrder="0" vertical="center"/>
    </xf>
    <xf borderId="0" fillId="4" fontId="6" numFmtId="0" xfId="0" applyAlignment="1" applyFont="1">
      <alignment vertical="bottom"/>
    </xf>
    <xf borderId="0" fillId="0" fontId="2" numFmtId="0" xfId="0" applyAlignment="1" applyFont="1">
      <alignment horizontal="left" readingOrder="0" vertical="center"/>
    </xf>
    <xf borderId="0" fillId="5" fontId="9" numFmtId="0" xfId="0" applyFont="1"/>
    <xf borderId="0" fillId="8" fontId="2" numFmtId="164" xfId="0" applyAlignment="1" applyFont="1" applyNumberFormat="1">
      <alignment vertical="bottom"/>
    </xf>
    <xf borderId="0" fillId="11" fontId="1" numFmtId="0" xfId="0" applyAlignment="1" applyFill="1" applyFont="1">
      <alignment readingOrder="0" shrinkToFit="0" wrapText="1"/>
    </xf>
    <xf borderId="0" fillId="11" fontId="1" numFmtId="164" xfId="0" applyFont="1" applyNumberFormat="1"/>
    <xf borderId="0" fillId="0" fontId="1" numFmtId="0" xfId="0" applyAlignment="1" applyFont="1">
      <alignment readingOrder="0"/>
    </xf>
    <xf borderId="0" fillId="0" fontId="1" numFmtId="0" xfId="0" applyAlignment="1" applyFont="1">
      <alignment readingOrder="0" vertical="center"/>
    </xf>
    <xf borderId="0" fillId="0" fontId="2" numFmtId="164" xfId="0" applyAlignment="1" applyFont="1" applyNumberFormat="1">
      <alignment readingOrder="0" vertical="bottom"/>
    </xf>
    <xf borderId="0" fillId="0" fontId="1" numFmtId="2" xfId="0" applyFont="1" applyNumberFormat="1"/>
    <xf borderId="0" fillId="0" fontId="2" numFmtId="0" xfId="0" applyAlignment="1" applyFont="1">
      <alignment readingOrder="0" shrinkToFit="0" vertical="center" wrapText="1"/>
    </xf>
    <xf borderId="0" fillId="11" fontId="1" numFmtId="0" xfId="0" applyAlignment="1" applyFont="1">
      <alignment readingOrder="0"/>
    </xf>
    <xf borderId="0" fillId="11" fontId="1" numFmtId="2" xfId="0" applyFont="1" applyNumberFormat="1"/>
    <xf borderId="0" fillId="12" fontId="1" numFmtId="0" xfId="0" applyAlignment="1" applyFill="1" applyFont="1">
      <alignment horizontal="center" readingOrder="0"/>
    </xf>
    <xf borderId="0" fillId="12" fontId="1" numFmtId="0" xfId="0" applyAlignment="1" applyFont="1">
      <alignment readingOrder="0"/>
    </xf>
    <xf borderId="0" fillId="7" fontId="1" numFmtId="0" xfId="0" applyAlignment="1" applyFont="1">
      <alignment horizontal="center" readingOrder="0"/>
    </xf>
    <xf borderId="0" fillId="7" fontId="1" numFmtId="0" xfId="0" applyAlignment="1" applyFont="1">
      <alignment readingOrder="0"/>
    </xf>
    <xf borderId="0" fillId="0" fontId="1" numFmtId="164" xfId="0" applyFont="1" applyNumberFormat="1"/>
    <xf borderId="0" fillId="0" fontId="1" numFmtId="168" xfId="0" applyFont="1" applyNumberFormat="1"/>
    <xf borderId="0" fillId="0" fontId="1" numFmtId="167" xfId="0" applyFont="1" applyNumberFormat="1"/>
    <xf borderId="11" fillId="13" fontId="1" numFmtId="0" xfId="0" applyAlignment="1" applyBorder="1" applyFill="1" applyFont="1">
      <alignment horizontal="center" readingOrder="0"/>
    </xf>
    <xf borderId="12" fillId="0" fontId="1" numFmtId="0" xfId="0" applyBorder="1" applyFont="1"/>
    <xf borderId="13" fillId="0" fontId="1" numFmtId="0" xfId="0" applyBorder="1" applyFont="1"/>
    <xf borderId="0" fillId="0" fontId="1" numFmtId="2" xfId="0" applyAlignment="1" applyFont="1" applyNumberFormat="1">
      <alignment readingOrder="0"/>
    </xf>
    <xf borderId="14" fillId="0" fontId="3" numFmtId="0" xfId="0" applyAlignment="1" applyBorder="1" applyFont="1">
      <alignment horizontal="center" readingOrder="0"/>
    </xf>
    <xf borderId="15" fillId="0" fontId="3" numFmtId="0" xfId="0" applyAlignment="1" applyBorder="1" applyFont="1">
      <alignment horizontal="center" readingOrder="0"/>
    </xf>
    <xf borderId="16" fillId="0" fontId="1" numFmtId="0" xfId="0" applyAlignment="1" applyBorder="1" applyFont="1">
      <alignment horizontal="center" readingOrder="0"/>
    </xf>
    <xf borderId="15" fillId="0" fontId="1" numFmtId="0" xfId="0" applyAlignment="1" applyBorder="1" applyFont="1">
      <alignment horizontal="center" readingOrder="0"/>
    </xf>
    <xf borderId="2" fillId="0" fontId="1" numFmtId="0" xfId="0" applyAlignment="1" applyBorder="1" applyFont="1">
      <alignment horizontal="center" readingOrder="0"/>
    </xf>
    <xf borderId="17" fillId="0" fontId="1" numFmtId="0" xfId="0" applyAlignment="1" applyBorder="1" applyFont="1">
      <alignment horizontal="center" readingOrder="0"/>
    </xf>
    <xf borderId="0" fillId="3" fontId="1" numFmtId="0" xfId="0" applyAlignment="1" applyFont="1">
      <alignment readingOrder="0"/>
    </xf>
    <xf borderId="0" fillId="3" fontId="1" numFmtId="2" xfId="0" applyFont="1" applyNumberFormat="1"/>
    <xf borderId="2" fillId="0" fontId="1" numFmtId="0" xfId="0" applyAlignment="1" applyBorder="1" applyFont="1">
      <alignment horizontal="center"/>
    </xf>
    <xf borderId="18" fillId="0" fontId="1" numFmtId="0" xfId="0" applyAlignment="1" applyBorder="1" applyFont="1">
      <alignment horizontal="center" readingOrder="0"/>
    </xf>
    <xf borderId="19" fillId="0" fontId="1" numFmtId="0" xfId="0" applyAlignment="1" applyBorder="1" applyFont="1">
      <alignment horizontal="center" readingOrder="0"/>
    </xf>
    <xf borderId="5" fillId="0" fontId="1" numFmtId="0" xfId="0" applyAlignment="1" applyBorder="1" applyFont="1">
      <alignment horizontal="center" readingOrder="0"/>
    </xf>
    <xf borderId="0" fillId="0" fontId="1" numFmtId="165" xfId="0" applyFont="1" applyNumberFormat="1"/>
    <xf borderId="0" fillId="5" fontId="10" numFmtId="0" xfId="0" applyAlignment="1" applyFont="1">
      <alignment horizontal="left"/>
    </xf>
    <xf borderId="17" fillId="0" fontId="1" numFmtId="0" xfId="0" applyAlignment="1" applyBorder="1" applyFont="1">
      <alignment horizontal="center"/>
    </xf>
    <xf borderId="8" fillId="13" fontId="1" numFmtId="0" xfId="0" applyAlignment="1" applyBorder="1" applyFont="1">
      <alignment horizontal="center" readingOrder="0"/>
    </xf>
    <xf borderId="15" fillId="0" fontId="1" numFmtId="0" xfId="0" applyAlignment="1" applyBorder="1" applyFont="1">
      <alignment readingOrder="0"/>
    </xf>
    <xf borderId="2" fillId="0" fontId="1" numFmtId="0" xfId="0" applyAlignment="1" applyBorder="1" applyFont="1">
      <alignment readingOrder="0"/>
    </xf>
    <xf borderId="17" fillId="0" fontId="1" numFmtId="0" xfId="0" applyAlignment="1" applyBorder="1" applyFont="1">
      <alignment readingOrder="0"/>
    </xf>
    <xf borderId="2" fillId="0" fontId="1" numFmtId="0" xfId="0" applyBorder="1" applyFont="1"/>
    <xf borderId="19" fillId="0" fontId="1" numFmtId="0" xfId="0" applyAlignment="1" applyBorder="1" applyFont="1">
      <alignment readingOrder="0"/>
    </xf>
    <xf borderId="5" fillId="0" fontId="1" numFmtId="0" xfId="0" applyAlignment="1" applyBorder="1" applyFont="1">
      <alignment readingOrder="0"/>
    </xf>
    <xf borderId="2" fillId="5" fontId="9" numFmtId="0" xfId="0" applyAlignment="1" applyBorder="1" applyFont="1">
      <alignment horizontal="center"/>
    </xf>
    <xf borderId="19" fillId="0" fontId="1" numFmtId="0" xfId="0" applyAlignment="1" applyBorder="1" applyFont="1">
      <alignment horizontal="center"/>
    </xf>
    <xf borderId="5" fillId="0" fontId="1" numFmtId="0" xfId="0" applyAlignment="1" applyBorder="1" applyFont="1">
      <alignment horizontal="center"/>
    </xf>
    <xf borderId="11" fillId="0" fontId="1" numFmtId="0" xfId="0" applyAlignment="1" applyBorder="1" applyFont="1">
      <alignment horizontal="center" readingOrder="0"/>
    </xf>
    <xf borderId="13"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466725</xdr:colOff>
      <xdr:row>24</xdr:row>
      <xdr:rowOff>19050</xdr:rowOff>
    </xdr:from>
    <xdr:ext cx="4781550" cy="3629025"/>
    <xdr:grpSp>
      <xdr:nvGrpSpPr>
        <xdr:cNvPr id="2" name="Shape 2" title="Drawing"/>
        <xdr:cNvGrpSpPr/>
      </xdr:nvGrpSpPr>
      <xdr:grpSpPr>
        <a:xfrm>
          <a:off x="152400" y="152400"/>
          <a:ext cx="4760025" cy="3610050"/>
          <a:chOff x="152400" y="152400"/>
          <a:chExt cx="4760025" cy="3610050"/>
        </a:xfrm>
      </xdr:grpSpPr>
      <xdr:pic>
        <xdr:nvPicPr>
          <xdr:cNvPr id="3" name="Shape 3"/>
          <xdr:cNvPicPr preferRelativeResize="0"/>
        </xdr:nvPicPr>
        <xdr:blipFill>
          <a:blip r:embed="rId1">
            <a:alphaModFix/>
          </a:blip>
          <a:stretch>
            <a:fillRect/>
          </a:stretch>
        </xdr:blipFill>
        <xdr:spPr>
          <a:xfrm>
            <a:off x="152400" y="152400"/>
            <a:ext cx="2495550" cy="1009650"/>
          </a:xfrm>
          <a:prstGeom prst="rect">
            <a:avLst/>
          </a:prstGeom>
          <a:noFill/>
          <a:ln>
            <a:noFill/>
          </a:ln>
        </xdr:spPr>
      </xdr:pic>
      <xdr:pic>
        <xdr:nvPicPr>
          <xdr:cNvPr id="4" name="Shape 4"/>
          <xdr:cNvPicPr preferRelativeResize="0"/>
        </xdr:nvPicPr>
        <xdr:blipFill>
          <a:blip r:embed="rId2">
            <a:alphaModFix/>
          </a:blip>
          <a:stretch>
            <a:fillRect/>
          </a:stretch>
        </xdr:blipFill>
        <xdr:spPr>
          <a:xfrm>
            <a:off x="152400" y="1314450"/>
            <a:ext cx="4760025" cy="2448000"/>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cycleworld.com/2016/02/01/motorcycle-v-twin-and-parallel-twin-and-flat-twin-engine-tech-sound-insights" TargetMode="External"/><Relationship Id="rId2" Type="http://schemas.openxmlformats.org/officeDocument/2006/relationships/hyperlink" Target="https://www.google.com/search?q=diameter+of+camshaft&amp;oq=diameter+of+camshaft&amp;aqs=chrome..69i57j0.3848j0j7&amp;sourceid=chrome&amp;ie=UTF-8"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43"/>
    <col customWidth="1" min="2" max="2" width="35.71"/>
    <col customWidth="1" min="3" max="3" width="21.29"/>
    <col customWidth="1" min="4" max="5" width="20.57"/>
    <col customWidth="1" min="6" max="6" width="37.0"/>
    <col customWidth="1" min="7" max="7" width="32.57"/>
  </cols>
  <sheetData>
    <row r="1">
      <c r="A1" s="3"/>
      <c r="B1" s="3" t="s">
        <v>1</v>
      </c>
      <c r="C1" s="3" t="s">
        <v>2</v>
      </c>
      <c r="D1" s="3" t="s">
        <v>3</v>
      </c>
      <c r="E1" s="3" t="s">
        <v>4</v>
      </c>
      <c r="F1" s="3" t="s">
        <v>5</v>
      </c>
      <c r="G1" s="3" t="s">
        <v>6</v>
      </c>
      <c r="H1" s="5"/>
      <c r="I1" s="5"/>
      <c r="J1" s="5"/>
      <c r="K1" s="5"/>
      <c r="L1" s="5"/>
      <c r="M1" s="5"/>
      <c r="N1" s="5"/>
      <c r="O1" s="5"/>
      <c r="P1" s="5"/>
      <c r="Q1" s="5"/>
      <c r="R1" s="5"/>
      <c r="S1" s="5"/>
      <c r="T1" s="5"/>
      <c r="U1" s="5"/>
      <c r="V1" s="5"/>
      <c r="W1" s="5"/>
      <c r="X1" s="5"/>
      <c r="Y1" s="5"/>
      <c r="Z1" s="5"/>
      <c r="AA1" s="5"/>
      <c r="AB1" s="5"/>
    </row>
    <row r="2">
      <c r="A2" s="7" t="s">
        <v>8</v>
      </c>
      <c r="B2" s="11"/>
      <c r="C2" s="11"/>
      <c r="D2" s="11"/>
      <c r="E2" s="11"/>
      <c r="F2" s="11"/>
      <c r="G2" s="13"/>
      <c r="H2" s="5"/>
      <c r="I2" s="5"/>
      <c r="J2" s="5"/>
      <c r="K2" s="5"/>
      <c r="L2" s="5"/>
      <c r="M2" s="5"/>
      <c r="N2" s="5"/>
      <c r="O2" s="5"/>
      <c r="P2" s="5"/>
      <c r="Q2" s="5"/>
      <c r="R2" s="5"/>
      <c r="S2" s="5"/>
      <c r="T2" s="5"/>
      <c r="U2" s="5"/>
      <c r="V2" s="5"/>
      <c r="W2" s="5"/>
      <c r="X2" s="5"/>
      <c r="Y2" s="5"/>
      <c r="Z2" s="5"/>
      <c r="AA2" s="5"/>
      <c r="AB2" s="5"/>
    </row>
    <row r="3">
      <c r="A3" s="16"/>
      <c r="B3" s="16" t="s">
        <v>37</v>
      </c>
      <c r="C3" s="16">
        <v>4.0625</v>
      </c>
      <c r="D3" s="16" t="s">
        <v>38</v>
      </c>
      <c r="E3" s="16" t="s">
        <v>39</v>
      </c>
      <c r="F3" s="16" t="s">
        <v>40</v>
      </c>
      <c r="G3" s="5"/>
      <c r="H3" s="5"/>
      <c r="I3" s="5"/>
      <c r="J3" s="5"/>
      <c r="K3" s="5"/>
      <c r="L3" s="5"/>
      <c r="M3" s="5"/>
      <c r="N3" s="5"/>
      <c r="O3" s="5"/>
      <c r="P3" s="5"/>
      <c r="Q3" s="5"/>
      <c r="R3" s="5"/>
      <c r="S3" s="5"/>
      <c r="T3" s="5"/>
      <c r="U3" s="5"/>
      <c r="V3" s="5"/>
      <c r="W3" s="5"/>
      <c r="X3" s="5"/>
      <c r="Y3" s="5"/>
      <c r="Z3" s="5"/>
      <c r="AA3" s="5"/>
      <c r="AB3" s="5"/>
    </row>
    <row r="4">
      <c r="A4" s="16"/>
      <c r="B4" s="16" t="s">
        <v>46</v>
      </c>
      <c r="C4" s="16">
        <v>4.1875</v>
      </c>
      <c r="D4" s="16" t="s">
        <v>38</v>
      </c>
      <c r="E4" s="16" t="s">
        <v>39</v>
      </c>
      <c r="F4" s="16" t="s">
        <v>40</v>
      </c>
      <c r="G4" s="5"/>
      <c r="H4" s="5"/>
      <c r="I4" s="5"/>
      <c r="J4" s="5"/>
      <c r="K4" s="5"/>
      <c r="L4" s="5"/>
      <c r="M4" s="5"/>
      <c r="N4" s="5"/>
      <c r="O4" s="5"/>
      <c r="P4" s="5"/>
      <c r="Q4" s="5"/>
      <c r="R4" s="5"/>
      <c r="S4" s="5"/>
      <c r="T4" s="5"/>
      <c r="U4" s="5"/>
      <c r="V4" s="5"/>
      <c r="W4" s="5"/>
      <c r="X4" s="5"/>
      <c r="Y4" s="5"/>
      <c r="Z4" s="5"/>
      <c r="AA4" s="5"/>
      <c r="AB4" s="5"/>
    </row>
    <row r="5">
      <c r="A5" s="16"/>
      <c r="B5" s="16" t="s">
        <v>48</v>
      </c>
      <c r="C5" s="16">
        <v>0.97</v>
      </c>
      <c r="D5" s="16" t="s">
        <v>49</v>
      </c>
      <c r="E5" s="16" t="s">
        <v>39</v>
      </c>
      <c r="F5" s="16" t="s">
        <v>40</v>
      </c>
      <c r="G5" s="5"/>
      <c r="H5" s="5"/>
      <c r="I5" s="5"/>
      <c r="J5" s="5"/>
      <c r="K5" s="5"/>
      <c r="L5" s="5"/>
      <c r="M5" s="5"/>
      <c r="N5" s="5"/>
      <c r="O5" s="5"/>
      <c r="P5" s="5"/>
      <c r="Q5" s="5"/>
      <c r="R5" s="5"/>
      <c r="S5" s="5"/>
      <c r="T5" s="5"/>
      <c r="U5" s="5"/>
      <c r="V5" s="5"/>
      <c r="W5" s="5"/>
      <c r="X5" s="5"/>
      <c r="Y5" s="5"/>
      <c r="Z5" s="5"/>
      <c r="AA5" s="5"/>
      <c r="AB5" s="5"/>
    </row>
    <row r="6">
      <c r="A6" s="16"/>
      <c r="B6" s="16" t="s">
        <v>50</v>
      </c>
      <c r="C6" s="16">
        <v>4.0</v>
      </c>
      <c r="D6" s="16" t="s">
        <v>49</v>
      </c>
      <c r="E6" s="16" t="s">
        <v>39</v>
      </c>
      <c r="F6" s="16" t="s">
        <v>51</v>
      </c>
      <c r="G6" s="16"/>
      <c r="H6" s="16"/>
      <c r="I6" s="5"/>
      <c r="J6" s="5"/>
      <c r="K6" s="5"/>
      <c r="L6" s="5"/>
      <c r="M6" s="5"/>
      <c r="N6" s="5"/>
      <c r="O6" s="5"/>
      <c r="P6" s="5"/>
      <c r="Q6" s="5"/>
      <c r="R6" s="5"/>
      <c r="S6" s="5"/>
      <c r="T6" s="5"/>
      <c r="U6" s="5"/>
      <c r="V6" s="5"/>
      <c r="W6" s="5"/>
      <c r="X6" s="5"/>
      <c r="Y6" s="5"/>
      <c r="Z6" s="5"/>
      <c r="AA6" s="5"/>
      <c r="AB6" s="5"/>
    </row>
    <row r="7">
      <c r="A7" s="16" t="s">
        <v>52</v>
      </c>
      <c r="B7" s="16" t="s">
        <v>53</v>
      </c>
      <c r="C7" s="16">
        <v>90.0</v>
      </c>
      <c r="D7" s="16" t="s">
        <v>54</v>
      </c>
      <c r="E7" s="16" t="s">
        <v>55</v>
      </c>
      <c r="F7" s="16" t="s">
        <v>56</v>
      </c>
      <c r="G7" s="20" t="s">
        <v>57</v>
      </c>
      <c r="H7" s="16" t="s">
        <v>61</v>
      </c>
      <c r="I7" s="5"/>
      <c r="J7" s="5"/>
      <c r="K7" s="5"/>
      <c r="L7" s="5"/>
      <c r="M7" s="5"/>
      <c r="N7" s="5"/>
      <c r="O7" s="5"/>
      <c r="P7" s="5"/>
      <c r="Q7" s="5"/>
      <c r="R7" s="5"/>
      <c r="S7" s="5"/>
      <c r="T7" s="5"/>
      <c r="U7" s="5"/>
      <c r="V7" s="5"/>
      <c r="W7" s="5"/>
      <c r="X7" s="5"/>
      <c r="Y7" s="5"/>
      <c r="Z7" s="5"/>
      <c r="AA7" s="5"/>
      <c r="AB7" s="5"/>
    </row>
    <row r="8">
      <c r="B8" s="22" t="s">
        <v>62</v>
      </c>
      <c r="C8" s="5">
        <f>C14*C6</f>
        <v>8.375</v>
      </c>
      <c r="D8" s="16"/>
      <c r="E8" s="16" t="s">
        <v>39</v>
      </c>
      <c r="F8" s="16" t="s">
        <v>63</v>
      </c>
      <c r="G8" s="5"/>
      <c r="H8" s="5"/>
      <c r="I8" s="5"/>
      <c r="J8" s="5"/>
      <c r="K8" s="5"/>
      <c r="L8" s="5"/>
      <c r="M8" s="5"/>
      <c r="N8" s="5"/>
      <c r="O8" s="5"/>
      <c r="P8" s="5"/>
      <c r="Q8" s="5"/>
      <c r="R8" s="5"/>
      <c r="S8" s="5"/>
      <c r="T8" s="5"/>
      <c r="U8" s="5"/>
      <c r="V8" s="5"/>
      <c r="W8" s="5"/>
      <c r="X8" s="5"/>
      <c r="Y8" s="5"/>
      <c r="Z8" s="5"/>
      <c r="AA8" s="5"/>
      <c r="AB8" s="5"/>
    </row>
    <row r="9">
      <c r="B9" s="16" t="s">
        <v>65</v>
      </c>
      <c r="C9" s="16">
        <v>1.26</v>
      </c>
      <c r="D9" s="16" t="s">
        <v>38</v>
      </c>
      <c r="E9" s="16" t="s">
        <v>66</v>
      </c>
      <c r="F9" s="16" t="s">
        <v>67</v>
      </c>
      <c r="G9" s="16" t="s">
        <v>68</v>
      </c>
      <c r="H9" s="5"/>
      <c r="I9" s="5"/>
      <c r="J9" s="5"/>
      <c r="K9" s="5"/>
      <c r="L9" s="5"/>
      <c r="M9" s="5"/>
      <c r="N9" s="5"/>
      <c r="O9" s="5"/>
      <c r="P9" s="5"/>
      <c r="Q9" s="5"/>
      <c r="R9" s="5"/>
      <c r="S9" s="5"/>
      <c r="T9" s="5"/>
      <c r="U9" s="5"/>
      <c r="V9" s="5"/>
      <c r="W9" s="5"/>
      <c r="X9" s="5"/>
      <c r="Y9" s="5"/>
      <c r="Z9" s="5"/>
      <c r="AA9" s="5"/>
      <c r="AB9" s="5"/>
    </row>
    <row r="10">
      <c r="B10" s="16" t="s">
        <v>69</v>
      </c>
      <c r="C10" s="16">
        <v>0.6</v>
      </c>
      <c r="D10" s="16" t="s">
        <v>38</v>
      </c>
      <c r="E10" s="16" t="s">
        <v>66</v>
      </c>
      <c r="F10" s="16" t="s">
        <v>70</v>
      </c>
      <c r="G10" s="5"/>
      <c r="H10" s="5"/>
      <c r="I10" s="5"/>
      <c r="J10" s="5"/>
      <c r="K10" s="5"/>
      <c r="L10" s="5"/>
      <c r="M10" s="5"/>
      <c r="N10" s="5"/>
      <c r="O10" s="5"/>
      <c r="P10" s="5"/>
      <c r="Q10" s="5"/>
      <c r="R10" s="5"/>
      <c r="S10" s="5"/>
      <c r="T10" s="5"/>
      <c r="U10" s="5"/>
      <c r="V10" s="5"/>
      <c r="W10" s="5"/>
      <c r="X10" s="5"/>
      <c r="Y10" s="5"/>
      <c r="Z10" s="5"/>
      <c r="AA10" s="5"/>
      <c r="AB10" s="5"/>
    </row>
    <row r="11">
      <c r="B11" s="16" t="s">
        <v>74</v>
      </c>
      <c r="C11" s="16">
        <v>2.44</v>
      </c>
      <c r="D11" s="16" t="s">
        <v>38</v>
      </c>
      <c r="E11" s="16" t="s">
        <v>66</v>
      </c>
      <c r="F11" s="16" t="s">
        <v>70</v>
      </c>
      <c r="G11" s="5"/>
      <c r="H11" s="5"/>
      <c r="I11" s="5"/>
      <c r="J11" s="5"/>
      <c r="K11" s="5"/>
      <c r="L11" s="5"/>
      <c r="M11" s="5"/>
      <c r="N11" s="5"/>
      <c r="O11" s="5"/>
      <c r="P11" s="5"/>
      <c r="Q11" s="5"/>
      <c r="R11" s="5"/>
      <c r="S11" s="5"/>
      <c r="T11" s="5"/>
      <c r="U11" s="5"/>
      <c r="V11" s="5"/>
      <c r="W11" s="5"/>
      <c r="X11" s="5"/>
      <c r="Y11" s="5"/>
      <c r="Z11" s="5"/>
      <c r="AA11" s="5"/>
      <c r="AB11" s="5"/>
    </row>
    <row r="12">
      <c r="B12" s="16" t="s">
        <v>76</v>
      </c>
      <c r="C12" s="16">
        <v>0.6</v>
      </c>
      <c r="D12" s="22" t="s">
        <v>38</v>
      </c>
      <c r="E12" s="16" t="s">
        <v>66</v>
      </c>
      <c r="F12" s="16" t="s">
        <v>70</v>
      </c>
      <c r="G12" s="5"/>
      <c r="H12" s="5"/>
      <c r="I12" s="5"/>
      <c r="J12" s="5"/>
      <c r="K12" s="5"/>
      <c r="L12" s="5"/>
      <c r="M12" s="5"/>
      <c r="N12" s="5"/>
      <c r="O12" s="5"/>
      <c r="P12" s="5"/>
      <c r="Q12" s="5"/>
      <c r="R12" s="5"/>
      <c r="S12" s="5"/>
      <c r="T12" s="5"/>
      <c r="U12" s="5"/>
      <c r="V12" s="5"/>
      <c r="W12" s="5"/>
      <c r="X12" s="5"/>
      <c r="Y12" s="5"/>
      <c r="Z12" s="5"/>
      <c r="AA12" s="5"/>
      <c r="AB12" s="5"/>
    </row>
    <row r="13">
      <c r="B13" s="16" t="s">
        <v>77</v>
      </c>
      <c r="C13" s="16">
        <v>0.59</v>
      </c>
      <c r="D13" s="22" t="s">
        <v>38</v>
      </c>
      <c r="E13" s="16" t="s">
        <v>66</v>
      </c>
      <c r="F13" s="16"/>
      <c r="G13" s="5"/>
      <c r="H13" s="5"/>
      <c r="I13" s="5"/>
      <c r="J13" s="5"/>
      <c r="K13" s="5"/>
      <c r="L13" s="5"/>
      <c r="M13" s="5"/>
      <c r="N13" s="5"/>
      <c r="O13" s="5"/>
      <c r="P13" s="5"/>
      <c r="Q13" s="5"/>
      <c r="R13" s="5"/>
      <c r="S13" s="5"/>
      <c r="T13" s="5"/>
      <c r="U13" s="5"/>
      <c r="V13" s="5"/>
      <c r="W13" s="5"/>
      <c r="X13" s="5"/>
      <c r="Y13" s="5"/>
      <c r="Z13" s="5"/>
      <c r="AA13" s="5"/>
      <c r="AB13" s="5"/>
    </row>
    <row r="14">
      <c r="B14" s="22" t="s">
        <v>78</v>
      </c>
      <c r="C14" s="5">
        <f>C4/2</f>
        <v>2.09375</v>
      </c>
      <c r="D14" s="16" t="s">
        <v>38</v>
      </c>
      <c r="E14" s="16" t="s">
        <v>39</v>
      </c>
      <c r="F14" s="16" t="s">
        <v>79</v>
      </c>
      <c r="G14" s="5"/>
      <c r="H14" s="5"/>
      <c r="I14" s="5"/>
      <c r="J14" s="5"/>
      <c r="K14" s="5"/>
      <c r="L14" s="5"/>
      <c r="M14" s="5"/>
      <c r="N14" s="5"/>
      <c r="O14" s="5"/>
      <c r="P14" s="5"/>
      <c r="Q14" s="5"/>
      <c r="R14" s="5"/>
      <c r="S14" s="5"/>
      <c r="T14" s="5"/>
      <c r="U14" s="5"/>
      <c r="V14" s="5"/>
      <c r="W14" s="5"/>
      <c r="X14" s="5"/>
      <c r="Y14" s="5"/>
      <c r="Z14" s="5"/>
      <c r="AA14" s="5"/>
      <c r="AB14" s="5"/>
    </row>
    <row r="15">
      <c r="C15" s="5">
        <f>C14*2.54</f>
        <v>5.318125</v>
      </c>
      <c r="D15" s="16" t="s">
        <v>80</v>
      </c>
      <c r="E15" s="16"/>
      <c r="F15" s="16"/>
      <c r="G15" s="5"/>
      <c r="H15" s="5"/>
      <c r="I15" s="5"/>
      <c r="J15" s="5"/>
      <c r="K15" s="5"/>
      <c r="L15" s="5"/>
      <c r="M15" s="5"/>
      <c r="N15" s="5"/>
      <c r="O15" s="5"/>
      <c r="P15" s="5"/>
      <c r="Q15" s="5"/>
      <c r="R15" s="5"/>
      <c r="S15" s="5"/>
      <c r="T15" s="5"/>
      <c r="U15" s="5"/>
      <c r="V15" s="5"/>
      <c r="W15" s="5"/>
      <c r="X15" s="5"/>
      <c r="Y15" s="5"/>
      <c r="Z15" s="5"/>
      <c r="AA15" s="5"/>
      <c r="AB15" s="5"/>
    </row>
    <row r="16">
      <c r="B16" s="22" t="s">
        <v>81</v>
      </c>
      <c r="C16" s="16">
        <v>0.15</v>
      </c>
      <c r="D16" s="16" t="s">
        <v>38</v>
      </c>
      <c r="E16" s="16" t="s">
        <v>66</v>
      </c>
      <c r="F16" s="16" t="s">
        <v>82</v>
      </c>
      <c r="G16" s="5"/>
      <c r="H16" s="5"/>
      <c r="I16" s="5"/>
      <c r="J16" s="5"/>
      <c r="K16" s="5"/>
      <c r="L16" s="5"/>
      <c r="M16" s="5"/>
      <c r="N16" s="5"/>
      <c r="O16" s="5"/>
      <c r="P16" s="5"/>
      <c r="Q16" s="5"/>
      <c r="R16" s="5"/>
      <c r="S16" s="5"/>
      <c r="T16" s="5"/>
      <c r="U16" s="5"/>
      <c r="V16" s="5"/>
      <c r="W16" s="5"/>
      <c r="X16" s="5"/>
      <c r="Y16" s="5"/>
      <c r="Z16" s="5"/>
      <c r="AA16" s="5"/>
      <c r="AB16" s="5"/>
    </row>
    <row r="17">
      <c r="A17" s="28" t="s">
        <v>84</v>
      </c>
      <c r="B17" s="22" t="s">
        <v>85</v>
      </c>
      <c r="C17" s="5">
        <f>1.2*C3</f>
        <v>4.875</v>
      </c>
      <c r="D17" s="16" t="s">
        <v>38</v>
      </c>
      <c r="E17" s="16" t="s">
        <v>87</v>
      </c>
      <c r="F17" s="16" t="s">
        <v>88</v>
      </c>
      <c r="G17" s="5"/>
      <c r="H17" s="5"/>
      <c r="I17" s="5"/>
      <c r="J17" s="5"/>
      <c r="K17" s="5"/>
      <c r="L17" s="5"/>
      <c r="M17" s="5"/>
      <c r="N17" s="5"/>
      <c r="O17" s="5"/>
      <c r="P17" s="5"/>
      <c r="Q17" s="5"/>
      <c r="R17" s="5"/>
      <c r="S17" s="5"/>
      <c r="T17" s="5"/>
      <c r="U17" s="5"/>
      <c r="V17" s="5"/>
      <c r="W17" s="5"/>
      <c r="X17" s="5"/>
      <c r="Y17" s="5"/>
      <c r="Z17" s="5"/>
      <c r="AA17" s="5"/>
      <c r="AB17" s="5"/>
    </row>
    <row r="18">
      <c r="B18" s="16" t="s">
        <v>89</v>
      </c>
      <c r="C18" s="22">
        <f>0.6*C3</f>
        <v>2.4375</v>
      </c>
      <c r="D18" s="16" t="s">
        <v>38</v>
      </c>
      <c r="E18" s="16" t="s">
        <v>87</v>
      </c>
      <c r="F18" s="16" t="s">
        <v>90</v>
      </c>
      <c r="G18" s="5"/>
      <c r="H18" s="5"/>
      <c r="I18" s="5"/>
      <c r="J18" s="5"/>
      <c r="K18" s="5"/>
      <c r="L18" s="5"/>
      <c r="M18" s="5"/>
      <c r="N18" s="5"/>
      <c r="O18" s="5"/>
      <c r="P18" s="5"/>
      <c r="Q18" s="5"/>
      <c r="R18" s="5"/>
      <c r="S18" s="5"/>
      <c r="T18" s="5"/>
      <c r="U18" s="5"/>
      <c r="V18" s="5"/>
      <c r="W18" s="5"/>
      <c r="X18" s="5"/>
      <c r="Y18" s="5"/>
      <c r="Z18" s="5"/>
      <c r="AA18" s="5"/>
      <c r="AB18" s="5"/>
    </row>
    <row r="19">
      <c r="B19" s="9" t="s">
        <v>92</v>
      </c>
      <c r="C19" s="1">
        <f>0.35*C3</f>
        <v>1.421875</v>
      </c>
      <c r="D19" s="16" t="s">
        <v>38</v>
      </c>
      <c r="E19" s="16" t="s">
        <v>87</v>
      </c>
      <c r="F19" s="16" t="s">
        <v>93</v>
      </c>
      <c r="G19" s="5"/>
      <c r="H19" s="5"/>
      <c r="I19" s="5"/>
      <c r="J19" s="5"/>
      <c r="K19" s="5"/>
      <c r="L19" s="5"/>
      <c r="M19" s="5"/>
      <c r="N19" s="5"/>
      <c r="O19" s="5"/>
      <c r="P19" s="5"/>
      <c r="Q19" s="5"/>
      <c r="R19" s="5"/>
      <c r="S19" s="5"/>
      <c r="T19" s="5"/>
      <c r="U19" s="5"/>
      <c r="V19" s="5"/>
      <c r="W19" s="5"/>
      <c r="X19" s="5"/>
      <c r="Y19" s="5"/>
      <c r="Z19" s="5"/>
      <c r="AA19" s="5"/>
      <c r="AB19" s="5"/>
    </row>
    <row r="20">
      <c r="B20" s="22" t="s">
        <v>94</v>
      </c>
      <c r="C20" s="16">
        <f>0.75*C3</f>
        <v>3.046875</v>
      </c>
      <c r="D20" s="16" t="s">
        <v>38</v>
      </c>
      <c r="E20" s="16" t="s">
        <v>87</v>
      </c>
      <c r="F20" s="16" t="s">
        <v>96</v>
      </c>
      <c r="G20" s="5"/>
      <c r="H20" s="5"/>
      <c r="I20" s="5"/>
      <c r="J20" s="5"/>
      <c r="K20" s="5"/>
      <c r="L20" s="5"/>
      <c r="M20" s="5"/>
      <c r="N20" s="5"/>
      <c r="O20" s="5"/>
      <c r="P20" s="5"/>
      <c r="Q20" s="5"/>
      <c r="R20" s="5"/>
      <c r="S20" s="5"/>
      <c r="T20" s="5"/>
      <c r="U20" s="5"/>
      <c r="V20" s="5"/>
      <c r="W20" s="5"/>
      <c r="X20" s="5"/>
      <c r="Y20" s="5"/>
      <c r="Z20" s="5"/>
      <c r="AA20" s="5"/>
      <c r="AB20" s="5"/>
    </row>
    <row r="21">
      <c r="B21" s="16" t="s">
        <v>101</v>
      </c>
      <c r="C21" s="16">
        <f>0.4*C3</f>
        <v>1.625</v>
      </c>
      <c r="D21" s="16" t="s">
        <v>38</v>
      </c>
      <c r="E21" s="16" t="s">
        <v>87</v>
      </c>
      <c r="F21" s="16" t="s">
        <v>102</v>
      </c>
      <c r="G21" s="5"/>
      <c r="H21" s="5"/>
      <c r="I21" s="5"/>
      <c r="J21" s="5"/>
      <c r="K21" s="5"/>
      <c r="L21" s="5"/>
      <c r="M21" s="5"/>
      <c r="N21" s="5"/>
      <c r="O21" s="5"/>
      <c r="P21" s="5"/>
      <c r="Q21" s="5"/>
      <c r="R21" s="5"/>
      <c r="S21" s="5"/>
      <c r="T21" s="5"/>
      <c r="U21" s="5"/>
      <c r="V21" s="5"/>
      <c r="W21" s="5"/>
      <c r="X21" s="5"/>
      <c r="Y21" s="5"/>
      <c r="Z21" s="5"/>
      <c r="AA21" s="5"/>
      <c r="AB21" s="5"/>
    </row>
    <row r="22">
      <c r="B22" s="9" t="s">
        <v>103</v>
      </c>
      <c r="C22" s="1">
        <f>0.25*C3</f>
        <v>1.015625</v>
      </c>
      <c r="D22" s="16" t="s">
        <v>38</v>
      </c>
      <c r="E22" s="16" t="s">
        <v>87</v>
      </c>
      <c r="F22" s="16" t="s">
        <v>105</v>
      </c>
      <c r="G22" s="5"/>
      <c r="H22" s="5"/>
      <c r="I22" s="5"/>
      <c r="J22" s="5"/>
      <c r="K22" s="5"/>
      <c r="L22" s="5"/>
      <c r="M22" s="5"/>
      <c r="N22" s="5"/>
      <c r="O22" s="5"/>
      <c r="P22" s="5"/>
      <c r="Q22" s="5"/>
      <c r="R22" s="5"/>
      <c r="S22" s="5"/>
      <c r="T22" s="5"/>
      <c r="U22" s="5"/>
      <c r="V22" s="5"/>
      <c r="W22" s="5"/>
      <c r="X22" s="5"/>
      <c r="Y22" s="5"/>
      <c r="Z22" s="5"/>
      <c r="AA22" s="5"/>
      <c r="AB22" s="5"/>
    </row>
    <row r="23">
      <c r="B23" s="9" t="s">
        <v>106</v>
      </c>
      <c r="C23" s="9">
        <f>0.04*C3</f>
        <v>0.1625</v>
      </c>
      <c r="D23" s="16" t="s">
        <v>38</v>
      </c>
      <c r="E23" s="16" t="s">
        <v>87</v>
      </c>
      <c r="F23" s="16" t="s">
        <v>109</v>
      </c>
      <c r="G23" s="5"/>
      <c r="H23" s="5"/>
      <c r="I23" s="5"/>
      <c r="J23" s="5"/>
      <c r="K23" s="5"/>
      <c r="L23" s="5"/>
      <c r="M23" s="5"/>
      <c r="N23" s="5"/>
      <c r="O23" s="5"/>
      <c r="P23" s="5"/>
      <c r="Q23" s="5"/>
      <c r="R23" s="5"/>
      <c r="S23" s="5"/>
      <c r="T23" s="5"/>
      <c r="U23" s="5"/>
      <c r="V23" s="5"/>
      <c r="W23" s="5"/>
      <c r="X23" s="5"/>
      <c r="Y23" s="5"/>
      <c r="Z23" s="5"/>
      <c r="AA23" s="5"/>
      <c r="AB23" s="5"/>
    </row>
    <row r="24">
      <c r="B24" s="9" t="s">
        <v>110</v>
      </c>
      <c r="C24" s="9">
        <f>0.04*C3</f>
        <v>0.1625</v>
      </c>
      <c r="D24" s="16" t="s">
        <v>38</v>
      </c>
      <c r="E24" s="16" t="s">
        <v>87</v>
      </c>
      <c r="F24" s="16" t="s">
        <v>111</v>
      </c>
      <c r="G24" s="5"/>
      <c r="H24" s="5"/>
      <c r="I24" s="5"/>
      <c r="J24" s="5"/>
      <c r="K24" s="5"/>
      <c r="L24" s="5"/>
      <c r="M24" s="5"/>
      <c r="N24" s="5"/>
      <c r="O24" s="5"/>
      <c r="P24" s="5"/>
      <c r="Q24" s="5"/>
      <c r="R24" s="5"/>
      <c r="S24" s="5"/>
      <c r="T24" s="5"/>
      <c r="U24" s="5"/>
      <c r="V24" s="5"/>
      <c r="W24" s="5"/>
      <c r="X24" s="5"/>
      <c r="Y24" s="5"/>
      <c r="Z24" s="5"/>
      <c r="AA24" s="5"/>
      <c r="AB24" s="5"/>
    </row>
    <row r="25">
      <c r="B25" s="16" t="s">
        <v>112</v>
      </c>
      <c r="C25" s="16">
        <f>(C20+C18-C4)/2</f>
        <v>0.6484375</v>
      </c>
      <c r="D25" s="16" t="s">
        <v>38</v>
      </c>
      <c r="E25" s="16"/>
      <c r="G25" s="5"/>
      <c r="H25" s="5"/>
      <c r="I25" s="5"/>
      <c r="J25" s="5"/>
      <c r="K25" s="5"/>
      <c r="L25" s="5"/>
      <c r="M25" s="5"/>
      <c r="N25" s="5"/>
      <c r="O25" s="5"/>
      <c r="P25" s="5"/>
      <c r="Q25" s="5"/>
      <c r="R25" s="5"/>
      <c r="S25" s="5"/>
      <c r="T25" s="5"/>
      <c r="U25" s="5"/>
      <c r="V25" s="5"/>
      <c r="W25" s="5"/>
      <c r="X25" s="5"/>
      <c r="Y25" s="5"/>
      <c r="Z25" s="5"/>
      <c r="AA25" s="5"/>
      <c r="AB25" s="5"/>
    </row>
    <row r="26">
      <c r="B26" s="22" t="s">
        <v>113</v>
      </c>
      <c r="C26" s="16">
        <f>C4/2</f>
        <v>2.09375</v>
      </c>
      <c r="D26" s="16"/>
      <c r="E26" s="16"/>
      <c r="F26" s="16" t="s">
        <v>114</v>
      </c>
      <c r="G26" s="5"/>
      <c r="H26" s="5"/>
      <c r="I26" s="5"/>
      <c r="J26" s="5"/>
      <c r="K26" s="5"/>
      <c r="L26" s="5"/>
      <c r="M26" s="5"/>
      <c r="N26" s="5"/>
      <c r="O26" s="5"/>
      <c r="P26" s="5"/>
      <c r="Q26" s="5"/>
      <c r="R26" s="5"/>
      <c r="S26" s="5"/>
      <c r="T26" s="5"/>
      <c r="U26" s="5"/>
      <c r="V26" s="5"/>
      <c r="W26" s="5"/>
      <c r="X26" s="5"/>
      <c r="Y26" s="5"/>
      <c r="Z26" s="5"/>
      <c r="AA26" s="5"/>
      <c r="AB26" s="5"/>
    </row>
    <row r="27">
      <c r="B27" s="22" t="s">
        <v>115</v>
      </c>
      <c r="C27" s="16"/>
      <c r="D27" s="16"/>
      <c r="E27" s="16"/>
      <c r="F27" s="16"/>
      <c r="G27" s="5"/>
      <c r="H27" s="5"/>
      <c r="I27" s="5"/>
      <c r="J27" s="5"/>
      <c r="K27" s="5"/>
      <c r="L27" s="5"/>
      <c r="M27" s="5"/>
      <c r="N27" s="5"/>
      <c r="O27" s="5"/>
      <c r="P27" s="5"/>
      <c r="Q27" s="5"/>
      <c r="R27" s="5"/>
      <c r="S27" s="5"/>
      <c r="T27" s="5"/>
      <c r="U27" s="5"/>
      <c r="V27" s="5"/>
      <c r="W27" s="5"/>
      <c r="X27" s="5"/>
      <c r="Y27" s="5"/>
      <c r="Z27" s="5"/>
      <c r="AA27" s="5"/>
      <c r="AB27" s="5"/>
    </row>
    <row r="28">
      <c r="A28" s="33"/>
      <c r="B28" s="9" t="s">
        <v>117</v>
      </c>
      <c r="C28" s="1">
        <f>C18+C22+C21</f>
        <v>5.078125</v>
      </c>
      <c r="D28" s="16"/>
      <c r="E28" s="16"/>
      <c r="F28" s="16"/>
      <c r="G28" s="5"/>
      <c r="H28" s="5"/>
      <c r="I28" s="5"/>
      <c r="J28" s="5"/>
      <c r="K28" s="5"/>
      <c r="L28" s="5"/>
      <c r="M28" s="5"/>
      <c r="N28" s="5"/>
      <c r="O28" s="5"/>
      <c r="P28" s="5"/>
      <c r="Q28" s="5"/>
      <c r="R28" s="5"/>
      <c r="S28" s="5"/>
      <c r="T28" s="5"/>
      <c r="U28" s="5"/>
      <c r="V28" s="5"/>
      <c r="W28" s="5"/>
      <c r="X28" s="5"/>
      <c r="Y28" s="5"/>
      <c r="Z28" s="5"/>
      <c r="AA28" s="5"/>
      <c r="AB28" s="5"/>
    </row>
    <row r="29">
      <c r="A29" s="33"/>
      <c r="B29" s="22" t="s">
        <v>120</v>
      </c>
      <c r="C29" s="16"/>
      <c r="D29" s="16"/>
      <c r="E29" s="16"/>
      <c r="F29" s="16"/>
      <c r="G29" s="5"/>
      <c r="H29" s="5"/>
      <c r="I29" s="5"/>
      <c r="J29" s="5"/>
      <c r="K29" s="5"/>
      <c r="L29" s="5"/>
      <c r="M29" s="5"/>
      <c r="N29" s="5"/>
      <c r="O29" s="5"/>
      <c r="P29" s="5"/>
      <c r="Q29" s="5"/>
      <c r="R29" s="5"/>
      <c r="S29" s="5"/>
      <c r="T29" s="5"/>
      <c r="U29" s="5"/>
      <c r="V29" s="5"/>
      <c r="W29" s="5"/>
      <c r="X29" s="5"/>
      <c r="Y29" s="5"/>
      <c r="Z29" s="5"/>
      <c r="AA29" s="5"/>
      <c r="AB29" s="5"/>
    </row>
    <row r="30">
      <c r="A30" s="34" t="s">
        <v>121</v>
      </c>
      <c r="B30" s="36"/>
      <c r="C30" s="36"/>
      <c r="D30" s="36"/>
      <c r="E30" s="36"/>
      <c r="F30" s="36"/>
      <c r="G30" s="37"/>
      <c r="H30" s="5"/>
      <c r="I30" s="5"/>
      <c r="J30" s="5"/>
      <c r="K30" s="5"/>
      <c r="L30" s="5"/>
      <c r="M30" s="5"/>
      <c r="N30" s="5"/>
      <c r="O30" s="5"/>
      <c r="P30" s="5"/>
      <c r="Q30" s="5"/>
      <c r="R30" s="5"/>
      <c r="S30" s="5"/>
      <c r="T30" s="5"/>
      <c r="U30" s="5"/>
      <c r="V30" s="5"/>
      <c r="W30" s="5"/>
      <c r="X30" s="5"/>
      <c r="Y30" s="5"/>
      <c r="Z30" s="5"/>
      <c r="AA30" s="5"/>
      <c r="AB30" s="5"/>
    </row>
    <row r="31">
      <c r="A31" s="22" t="s">
        <v>125</v>
      </c>
      <c r="B31" s="22"/>
      <c r="C31" s="16"/>
      <c r="D31" s="16" t="s">
        <v>38</v>
      </c>
      <c r="E31" s="16" t="s">
        <v>55</v>
      </c>
      <c r="F31" s="16" t="s">
        <v>126</v>
      </c>
      <c r="G31" s="16"/>
      <c r="H31" s="5"/>
      <c r="I31" s="5"/>
      <c r="J31" s="5"/>
      <c r="K31" s="5"/>
      <c r="L31" s="5"/>
      <c r="M31" s="5"/>
      <c r="N31" s="5"/>
      <c r="O31" s="5"/>
      <c r="P31" s="5"/>
      <c r="Q31" s="5"/>
      <c r="R31" s="5"/>
      <c r="S31" s="5"/>
      <c r="T31" s="5"/>
      <c r="U31" s="5"/>
      <c r="V31" s="5"/>
      <c r="W31" s="5"/>
      <c r="X31" s="5"/>
      <c r="Y31" s="5"/>
      <c r="Z31" s="5"/>
      <c r="AA31" s="5"/>
      <c r="AB31" s="5"/>
    </row>
    <row r="32">
      <c r="B32" s="22"/>
      <c r="C32" s="16"/>
      <c r="D32" s="16" t="s">
        <v>38</v>
      </c>
      <c r="E32" s="16" t="s">
        <v>55</v>
      </c>
      <c r="F32" s="16" t="s">
        <v>127</v>
      </c>
      <c r="G32" s="16"/>
      <c r="H32" s="39"/>
      <c r="I32" s="5"/>
      <c r="J32" s="5"/>
      <c r="K32" s="5"/>
      <c r="L32" s="5"/>
      <c r="M32" s="5"/>
      <c r="N32" s="5"/>
      <c r="O32" s="5"/>
      <c r="P32" s="5"/>
      <c r="Q32" s="5"/>
      <c r="R32" s="5"/>
      <c r="S32" s="5"/>
      <c r="T32" s="5"/>
      <c r="U32" s="5"/>
      <c r="V32" s="5"/>
      <c r="W32" s="5"/>
      <c r="X32" s="5"/>
      <c r="Y32" s="5"/>
      <c r="Z32" s="5"/>
      <c r="AA32" s="5"/>
      <c r="AB32" s="5"/>
    </row>
    <row r="33">
      <c r="B33" s="22" t="s">
        <v>130</v>
      </c>
      <c r="C33" s="16">
        <v>1.0</v>
      </c>
      <c r="D33" s="16" t="s">
        <v>38</v>
      </c>
      <c r="E33" s="16" t="s">
        <v>55</v>
      </c>
      <c r="F33" s="16"/>
      <c r="G33" s="20" t="s">
        <v>131</v>
      </c>
      <c r="H33" s="39"/>
      <c r="I33" s="5"/>
      <c r="J33" s="5"/>
      <c r="K33" s="5"/>
      <c r="L33" s="5"/>
      <c r="M33" s="5"/>
      <c r="N33" s="5"/>
      <c r="O33" s="5"/>
      <c r="P33" s="5"/>
      <c r="Q33" s="5"/>
      <c r="R33" s="5"/>
      <c r="S33" s="5"/>
      <c r="T33" s="5"/>
      <c r="U33" s="5"/>
      <c r="V33" s="5"/>
      <c r="W33" s="5"/>
      <c r="X33" s="5"/>
      <c r="Y33" s="5"/>
      <c r="Z33" s="5"/>
      <c r="AA33" s="5"/>
      <c r="AB33" s="5"/>
    </row>
    <row r="34">
      <c r="B34" s="22" t="s">
        <v>136</v>
      </c>
      <c r="C34" s="16">
        <v>1.0</v>
      </c>
      <c r="D34" s="16" t="s">
        <v>38</v>
      </c>
      <c r="E34" s="16"/>
      <c r="F34" s="16"/>
      <c r="G34" s="16"/>
      <c r="H34" s="39"/>
      <c r="I34" s="5"/>
      <c r="J34" s="5"/>
      <c r="K34" s="5"/>
      <c r="L34" s="5"/>
      <c r="M34" s="5"/>
      <c r="N34" s="5"/>
      <c r="O34" s="5"/>
      <c r="P34" s="5"/>
      <c r="Q34" s="5"/>
      <c r="R34" s="5"/>
      <c r="S34" s="5"/>
      <c r="T34" s="5"/>
      <c r="U34" s="5"/>
      <c r="V34" s="5"/>
      <c r="W34" s="5"/>
      <c r="X34" s="5"/>
      <c r="Y34" s="5"/>
      <c r="Z34" s="5"/>
      <c r="AA34" s="5"/>
      <c r="AB34" s="5"/>
    </row>
    <row r="35">
      <c r="B35" s="22" t="s">
        <v>137</v>
      </c>
      <c r="C35" s="16">
        <v>0.5</v>
      </c>
      <c r="D35" s="16" t="s">
        <v>38</v>
      </c>
      <c r="E35" s="16"/>
      <c r="F35" s="16" t="s">
        <v>127</v>
      </c>
      <c r="G35" s="16"/>
      <c r="H35" s="39"/>
      <c r="I35" s="5"/>
      <c r="J35" s="5"/>
      <c r="K35" s="5"/>
      <c r="L35" s="5"/>
      <c r="M35" s="5"/>
      <c r="N35" s="5"/>
      <c r="O35" s="5"/>
      <c r="P35" s="5"/>
      <c r="Q35" s="5"/>
      <c r="R35" s="5"/>
      <c r="S35" s="5"/>
      <c r="T35" s="5"/>
      <c r="U35" s="5"/>
      <c r="V35" s="5"/>
      <c r="W35" s="5"/>
      <c r="X35" s="5"/>
      <c r="Y35" s="5"/>
      <c r="Z35" s="5"/>
      <c r="AA35" s="5"/>
      <c r="AB35" s="5"/>
    </row>
    <row r="36">
      <c r="B36" s="22"/>
      <c r="C36" s="16"/>
      <c r="D36" s="16"/>
      <c r="E36" s="16"/>
      <c r="F36" s="16"/>
      <c r="G36" s="16"/>
      <c r="H36" s="39"/>
      <c r="I36" s="5"/>
      <c r="J36" s="5"/>
      <c r="K36" s="5"/>
      <c r="L36" s="5"/>
      <c r="M36" s="5"/>
      <c r="N36" s="5"/>
      <c r="O36" s="5"/>
      <c r="P36" s="5"/>
      <c r="Q36" s="5"/>
      <c r="R36" s="5"/>
      <c r="S36" s="5"/>
      <c r="T36" s="5"/>
      <c r="U36" s="5"/>
      <c r="V36" s="5"/>
      <c r="W36" s="5"/>
      <c r="X36" s="5"/>
      <c r="Y36" s="5"/>
      <c r="Z36" s="5"/>
      <c r="AA36" s="5"/>
      <c r="AB36" s="5"/>
    </row>
    <row r="37">
      <c r="B37" s="9"/>
      <c r="C37" s="16"/>
      <c r="D37" s="16"/>
      <c r="E37" s="16"/>
      <c r="F37" s="16"/>
      <c r="G37" s="16"/>
      <c r="H37" s="39"/>
      <c r="I37" s="5"/>
      <c r="J37" s="5"/>
      <c r="K37" s="5"/>
      <c r="L37" s="5"/>
      <c r="M37" s="5"/>
      <c r="N37" s="5"/>
      <c r="O37" s="5"/>
      <c r="P37" s="5"/>
      <c r="Q37" s="5"/>
      <c r="R37" s="5"/>
      <c r="S37" s="5"/>
      <c r="T37" s="5"/>
      <c r="U37" s="5"/>
      <c r="V37" s="5"/>
      <c r="W37" s="5"/>
      <c r="X37" s="5"/>
      <c r="Y37" s="5"/>
      <c r="Z37" s="5"/>
      <c r="AA37" s="5"/>
      <c r="AB37" s="5"/>
    </row>
    <row r="38">
      <c r="A38" s="9"/>
      <c r="B38" s="9" t="s">
        <v>138</v>
      </c>
      <c r="C38" s="9"/>
      <c r="H38" s="39"/>
      <c r="I38" s="5"/>
      <c r="J38" s="5"/>
      <c r="K38" s="5"/>
      <c r="L38" s="5"/>
      <c r="M38" s="5"/>
      <c r="N38" s="5"/>
      <c r="O38" s="5"/>
      <c r="P38" s="5"/>
      <c r="Q38" s="5"/>
      <c r="R38" s="5"/>
      <c r="S38" s="5"/>
      <c r="T38" s="5"/>
      <c r="U38" s="5"/>
      <c r="V38" s="5"/>
      <c r="W38" s="5"/>
      <c r="X38" s="5"/>
      <c r="Y38" s="5"/>
      <c r="Z38" s="5"/>
      <c r="AA38" s="5"/>
      <c r="AB38" s="5"/>
    </row>
    <row r="39">
      <c r="A39" s="9" t="s">
        <v>139</v>
      </c>
      <c r="B39" s="16" t="s">
        <v>140</v>
      </c>
      <c r="C39" s="22">
        <f>(C50*C40)/C72</f>
        <v>1.128912665</v>
      </c>
      <c r="D39" s="39"/>
      <c r="E39" s="39"/>
      <c r="F39" s="39"/>
      <c r="G39" s="39"/>
      <c r="H39" s="39"/>
      <c r="I39" s="5"/>
      <c r="J39" s="5"/>
      <c r="K39" s="5"/>
      <c r="L39" s="5"/>
      <c r="M39" s="5"/>
      <c r="N39" s="5"/>
      <c r="O39" s="5"/>
      <c r="P39" s="5"/>
      <c r="Q39" s="5"/>
      <c r="R39" s="5"/>
      <c r="S39" s="5"/>
      <c r="T39" s="5"/>
      <c r="U39" s="5"/>
      <c r="V39" s="5"/>
      <c r="W39" s="5"/>
      <c r="X39" s="5"/>
      <c r="Y39" s="5"/>
      <c r="Z39" s="5"/>
      <c r="AA39" s="5"/>
      <c r="AB39" s="5"/>
    </row>
    <row r="40">
      <c r="B40" s="9" t="s">
        <v>141</v>
      </c>
      <c r="C40" s="9">
        <v>1.0</v>
      </c>
      <c r="D40" s="9"/>
      <c r="E40" s="9"/>
      <c r="F40" s="9"/>
      <c r="G40" s="9"/>
      <c r="H40" s="39"/>
      <c r="I40" s="5"/>
      <c r="J40" s="5"/>
      <c r="K40" s="5"/>
      <c r="L40" s="5"/>
      <c r="M40" s="5"/>
      <c r="N40" s="5"/>
      <c r="O40" s="5"/>
      <c r="P40" s="5"/>
      <c r="Q40" s="5"/>
      <c r="R40" s="5"/>
      <c r="S40" s="5"/>
      <c r="T40" s="5"/>
      <c r="U40" s="5"/>
      <c r="V40" s="5"/>
      <c r="W40" s="5"/>
      <c r="X40" s="5"/>
      <c r="Y40" s="5"/>
      <c r="Z40" s="5"/>
      <c r="AA40" s="5"/>
      <c r="AB40" s="5"/>
    </row>
    <row r="41">
      <c r="B41" s="9"/>
      <c r="C41" s="9"/>
      <c r="D41" s="9"/>
      <c r="E41" s="9"/>
      <c r="F41" s="9"/>
      <c r="G41" s="9"/>
      <c r="H41" s="39"/>
      <c r="I41" s="5"/>
      <c r="J41" s="5"/>
      <c r="K41" s="5"/>
      <c r="L41" s="5"/>
      <c r="M41" s="5"/>
      <c r="N41" s="5"/>
      <c r="O41" s="5"/>
      <c r="P41" s="5"/>
      <c r="Q41" s="5"/>
      <c r="R41" s="5"/>
      <c r="S41" s="5"/>
      <c r="T41" s="5"/>
      <c r="U41" s="5"/>
      <c r="V41" s="5"/>
      <c r="W41" s="5"/>
      <c r="X41" s="5"/>
      <c r="Y41" s="5"/>
      <c r="Z41" s="5"/>
      <c r="AA41" s="5"/>
      <c r="AB41" s="5"/>
    </row>
    <row r="42">
      <c r="B42" s="9"/>
      <c r="C42" s="9"/>
      <c r="D42" s="9"/>
      <c r="E42" s="9"/>
      <c r="F42" s="9"/>
      <c r="G42" s="9"/>
      <c r="H42" s="39"/>
      <c r="I42" s="5"/>
      <c r="J42" s="5"/>
      <c r="K42" s="5"/>
      <c r="L42" s="5"/>
      <c r="M42" s="5"/>
      <c r="N42" s="5"/>
      <c r="O42" s="5"/>
      <c r="P42" s="5"/>
      <c r="Q42" s="5"/>
      <c r="R42" s="5"/>
      <c r="S42" s="5"/>
      <c r="T42" s="5"/>
      <c r="U42" s="5"/>
      <c r="V42" s="5"/>
      <c r="W42" s="5"/>
      <c r="X42" s="5"/>
      <c r="Y42" s="5"/>
      <c r="Z42" s="5"/>
      <c r="AA42" s="5"/>
      <c r="AB42" s="5"/>
    </row>
    <row r="43">
      <c r="B43" s="9" t="s">
        <v>143</v>
      </c>
      <c r="C43" s="9">
        <v>45.0</v>
      </c>
      <c r="D43" s="9" t="s">
        <v>54</v>
      </c>
      <c r="E43" s="9"/>
      <c r="F43" s="9"/>
      <c r="G43" s="9"/>
      <c r="H43" s="39"/>
      <c r="I43" s="5"/>
      <c r="J43" s="5"/>
      <c r="K43" s="5"/>
      <c r="L43" s="5"/>
      <c r="M43" s="5"/>
      <c r="N43" s="5"/>
      <c r="O43" s="5"/>
      <c r="P43" s="5"/>
      <c r="Q43" s="5"/>
      <c r="R43" s="5"/>
      <c r="S43" s="5"/>
      <c r="T43" s="5"/>
      <c r="U43" s="5"/>
      <c r="V43" s="5"/>
      <c r="W43" s="5"/>
      <c r="X43" s="5"/>
      <c r="Y43" s="5"/>
      <c r="Z43" s="5"/>
      <c r="AA43" s="5"/>
      <c r="AB43" s="5"/>
    </row>
    <row r="44">
      <c r="A44" s="34" t="s">
        <v>144</v>
      </c>
      <c r="B44" s="36"/>
      <c r="C44" s="36"/>
      <c r="D44" s="36"/>
      <c r="E44" s="36"/>
      <c r="F44" s="36"/>
      <c r="G44" s="37"/>
      <c r="H44" s="39"/>
      <c r="I44" s="5"/>
      <c r="J44" s="5"/>
      <c r="K44" s="5"/>
      <c r="L44" s="5"/>
      <c r="M44" s="5"/>
      <c r="N44" s="5"/>
      <c r="O44" s="5"/>
      <c r="P44" s="5"/>
      <c r="Q44" s="5"/>
      <c r="R44" s="5"/>
      <c r="S44" s="5"/>
      <c r="T44" s="5"/>
      <c r="U44" s="5"/>
      <c r="V44" s="5"/>
      <c r="W44" s="5"/>
      <c r="X44" s="5"/>
      <c r="Y44" s="5"/>
      <c r="Z44" s="5"/>
      <c r="AA44" s="5"/>
      <c r="AB44" s="5"/>
    </row>
    <row r="45">
      <c r="A45" s="16"/>
      <c r="B45" s="33"/>
      <c r="C45" s="39"/>
      <c r="D45" s="39"/>
      <c r="E45" s="39"/>
      <c r="F45" s="39"/>
      <c r="G45" s="39"/>
      <c r="H45" s="39"/>
      <c r="I45" s="5"/>
      <c r="J45" s="5"/>
      <c r="K45" s="5"/>
      <c r="L45" s="5"/>
      <c r="M45" s="5"/>
      <c r="N45" s="5"/>
      <c r="O45" s="5"/>
      <c r="P45" s="5"/>
      <c r="Q45" s="5"/>
      <c r="R45" s="5"/>
      <c r="S45" s="5"/>
      <c r="T45" s="5"/>
      <c r="U45" s="5"/>
      <c r="V45" s="5"/>
      <c r="W45" s="5"/>
      <c r="X45" s="5"/>
      <c r="Y45" s="5"/>
      <c r="Z45" s="5"/>
      <c r="AA45" s="5"/>
      <c r="AB45" s="5"/>
    </row>
    <row r="46">
      <c r="A46" s="34" t="s">
        <v>148</v>
      </c>
      <c r="B46" s="36"/>
      <c r="C46" s="36"/>
      <c r="D46" s="36"/>
      <c r="E46" s="36"/>
      <c r="F46" s="36"/>
      <c r="G46" s="37"/>
      <c r="H46" s="39"/>
      <c r="I46" s="5"/>
      <c r="J46" s="5"/>
      <c r="K46" s="5"/>
      <c r="L46" s="5"/>
      <c r="M46" s="5"/>
      <c r="N46" s="5"/>
      <c r="O46" s="5"/>
      <c r="P46" s="5"/>
      <c r="Q46" s="5"/>
      <c r="R46" s="5"/>
      <c r="S46" s="5"/>
      <c r="T46" s="5"/>
      <c r="U46" s="5"/>
      <c r="V46" s="5"/>
      <c r="W46" s="5"/>
      <c r="X46" s="5"/>
      <c r="Y46" s="5"/>
      <c r="Z46" s="5"/>
      <c r="AA46" s="5"/>
      <c r="AB46" s="5"/>
    </row>
    <row r="47">
      <c r="A47" s="44" t="s">
        <v>149</v>
      </c>
      <c r="B47" s="22" t="s">
        <v>150</v>
      </c>
      <c r="C47" s="45">
        <f>0.36*C3</f>
        <v>1.4625</v>
      </c>
      <c r="D47" s="22" t="s">
        <v>38</v>
      </c>
      <c r="E47" s="22" t="s">
        <v>152</v>
      </c>
      <c r="F47" s="22" t="s">
        <v>153</v>
      </c>
      <c r="G47" s="22" t="s">
        <v>154</v>
      </c>
      <c r="H47" s="22"/>
      <c r="I47" s="5"/>
      <c r="J47" s="5"/>
      <c r="K47" s="5"/>
      <c r="L47" s="5"/>
      <c r="M47" s="5"/>
      <c r="N47" s="5"/>
      <c r="O47" s="5"/>
      <c r="P47" s="5"/>
      <c r="Q47" s="5"/>
      <c r="R47" s="5"/>
      <c r="S47" s="5"/>
      <c r="T47" s="5"/>
      <c r="U47" s="5"/>
      <c r="V47" s="5"/>
      <c r="W47" s="5"/>
      <c r="X47" s="5"/>
      <c r="Y47" s="5"/>
      <c r="Z47" s="5"/>
      <c r="AA47" s="5"/>
      <c r="AB47" s="5"/>
    </row>
    <row r="48">
      <c r="B48" s="22" t="s">
        <v>155</v>
      </c>
      <c r="C48" s="46">
        <f>C47/1.095</f>
        <v>1.335616438</v>
      </c>
      <c r="D48" s="22" t="s">
        <v>38</v>
      </c>
      <c r="E48" s="22" t="s">
        <v>152</v>
      </c>
      <c r="F48" s="22" t="s">
        <v>156</v>
      </c>
      <c r="G48" s="22" t="s">
        <v>157</v>
      </c>
      <c r="H48" s="22"/>
      <c r="I48" s="5"/>
      <c r="J48" s="5"/>
      <c r="K48" s="5"/>
      <c r="L48" s="5"/>
      <c r="M48" s="5"/>
      <c r="N48" s="5"/>
      <c r="O48" s="5"/>
      <c r="P48" s="5"/>
      <c r="Q48" s="5"/>
      <c r="R48" s="5"/>
      <c r="S48" s="5"/>
      <c r="T48" s="5"/>
      <c r="U48" s="5"/>
      <c r="V48" s="5"/>
      <c r="W48" s="5"/>
      <c r="X48" s="5"/>
      <c r="Y48" s="5"/>
      <c r="Z48" s="5"/>
      <c r="AA48" s="5"/>
      <c r="AB48" s="5"/>
    </row>
    <row r="49">
      <c r="B49" s="22" t="s">
        <v>158</v>
      </c>
      <c r="C49" s="46">
        <f>0.21*C48</f>
        <v>0.2804794521</v>
      </c>
      <c r="D49" s="22" t="s">
        <v>38</v>
      </c>
      <c r="E49" s="22" t="s">
        <v>152</v>
      </c>
      <c r="F49" s="22" t="s">
        <v>156</v>
      </c>
      <c r="G49" s="22" t="s">
        <v>159</v>
      </c>
      <c r="H49" s="22"/>
      <c r="I49" s="5"/>
      <c r="J49" s="5"/>
      <c r="K49" s="5"/>
      <c r="L49" s="5"/>
      <c r="M49" s="5"/>
      <c r="N49" s="5"/>
      <c r="O49" s="5"/>
      <c r="P49" s="5"/>
      <c r="Q49" s="5"/>
      <c r="R49" s="5"/>
      <c r="S49" s="5"/>
      <c r="T49" s="5"/>
      <c r="U49" s="5"/>
      <c r="V49" s="5"/>
      <c r="W49" s="5"/>
      <c r="X49" s="5"/>
      <c r="Y49" s="5"/>
      <c r="Z49" s="5"/>
      <c r="AA49" s="5"/>
      <c r="AB49" s="5"/>
    </row>
    <row r="50">
      <c r="B50" s="22" t="s">
        <v>160</v>
      </c>
      <c r="C50" s="46">
        <f>C56/(4*cos(45))</f>
        <v>0.575234286</v>
      </c>
      <c r="D50" s="22" t="s">
        <v>38</v>
      </c>
      <c r="E50" s="22" t="s">
        <v>55</v>
      </c>
      <c r="F50" s="22" t="s">
        <v>161</v>
      </c>
      <c r="G50" s="22" t="s">
        <v>162</v>
      </c>
      <c r="H50" s="5"/>
      <c r="I50" s="5"/>
      <c r="J50" s="5"/>
      <c r="K50" s="5"/>
      <c r="L50" s="5"/>
      <c r="M50" s="5"/>
      <c r="N50" s="5"/>
      <c r="O50" s="5"/>
      <c r="P50" s="5"/>
      <c r="Q50" s="5"/>
      <c r="R50" s="5"/>
      <c r="S50" s="5"/>
      <c r="T50" s="5"/>
      <c r="U50" s="5"/>
      <c r="V50" s="5"/>
      <c r="W50" s="5"/>
      <c r="X50" s="5"/>
      <c r="Y50" s="5"/>
      <c r="Z50" s="5"/>
      <c r="AA50" s="5"/>
      <c r="AB50" s="5"/>
    </row>
    <row r="51">
      <c r="B51" s="22" t="s">
        <v>163</v>
      </c>
      <c r="C51" s="46">
        <f>(1.1*C47-C47)/2</f>
        <v>0.073125</v>
      </c>
      <c r="D51" s="22" t="s">
        <v>38</v>
      </c>
      <c r="E51" s="22" t="s">
        <v>164</v>
      </c>
      <c r="F51" s="22" t="s">
        <v>156</v>
      </c>
      <c r="G51" s="22"/>
      <c r="H51" s="5"/>
      <c r="I51" s="5"/>
      <c r="J51" s="5"/>
      <c r="K51" s="5"/>
      <c r="L51" s="5"/>
      <c r="M51" s="5"/>
      <c r="N51" s="5"/>
      <c r="O51" s="5"/>
      <c r="P51" s="5"/>
      <c r="Q51" s="5"/>
      <c r="R51" s="5"/>
      <c r="S51" s="5"/>
      <c r="T51" s="5"/>
      <c r="U51" s="5"/>
      <c r="V51" s="5"/>
      <c r="W51" s="5"/>
      <c r="X51" s="5"/>
      <c r="Y51" s="5"/>
      <c r="Z51" s="5"/>
      <c r="AA51" s="5"/>
      <c r="AB51" s="5"/>
    </row>
    <row r="52">
      <c r="B52" s="22" t="s">
        <v>165</v>
      </c>
      <c r="C52" s="46">
        <f>C47-C51</f>
        <v>1.389375</v>
      </c>
      <c r="D52" s="22" t="s">
        <v>38</v>
      </c>
      <c r="E52" s="22" t="s">
        <v>164</v>
      </c>
      <c r="F52" s="22" t="s">
        <v>166</v>
      </c>
      <c r="G52" s="22"/>
      <c r="H52" s="5"/>
      <c r="I52" s="5"/>
      <c r="J52" s="5"/>
      <c r="K52" s="5"/>
      <c r="L52" s="5"/>
      <c r="M52" s="5"/>
      <c r="N52" s="5"/>
      <c r="O52" s="5"/>
      <c r="P52" s="5"/>
      <c r="Q52" s="5"/>
      <c r="R52" s="5"/>
      <c r="S52" s="5"/>
      <c r="T52" s="5"/>
      <c r="U52" s="5"/>
      <c r="V52" s="5"/>
      <c r="W52" s="5"/>
      <c r="X52" s="5"/>
      <c r="Y52" s="5"/>
      <c r="Z52" s="5"/>
      <c r="AA52" s="5"/>
      <c r="AB52" s="5"/>
    </row>
    <row r="53">
      <c r="B53" s="47" t="s">
        <v>167</v>
      </c>
      <c r="C53" s="46">
        <f>PI()*C47*0.98*C50</f>
        <v>2.590100328</v>
      </c>
      <c r="D53" s="22" t="s">
        <v>91</v>
      </c>
      <c r="E53" s="22" t="s">
        <v>152</v>
      </c>
      <c r="F53" s="22" t="s">
        <v>168</v>
      </c>
      <c r="G53" s="22" t="s">
        <v>169</v>
      </c>
      <c r="H53" s="5"/>
      <c r="I53" s="5"/>
      <c r="J53" s="5"/>
      <c r="K53" s="5"/>
      <c r="L53" s="5"/>
      <c r="M53" s="5"/>
      <c r="N53" s="5"/>
      <c r="O53" s="5"/>
      <c r="P53" s="5"/>
      <c r="Q53" s="5"/>
      <c r="R53" s="5"/>
      <c r="S53" s="5"/>
      <c r="T53" s="5"/>
      <c r="U53" s="5"/>
      <c r="V53" s="5"/>
      <c r="W53" s="5"/>
      <c r="X53" s="5"/>
      <c r="Y53" s="5"/>
      <c r="Z53" s="5"/>
      <c r="AA53" s="5"/>
      <c r="AB53" s="5"/>
    </row>
    <row r="54" ht="15.0" customHeight="1">
      <c r="B54" s="47" t="s">
        <v>170</v>
      </c>
      <c r="C54" s="46">
        <f>pi()*C56^2/4</f>
        <v>1.147494337</v>
      </c>
      <c r="D54" s="22" t="s">
        <v>91</v>
      </c>
      <c r="E54" s="22" t="s">
        <v>152</v>
      </c>
      <c r="F54" s="22" t="s">
        <v>168</v>
      </c>
      <c r="G54" s="22" t="s">
        <v>171</v>
      </c>
      <c r="H54" s="5"/>
      <c r="I54" s="5"/>
      <c r="J54" s="5"/>
      <c r="K54" s="5"/>
      <c r="L54" s="5"/>
      <c r="M54" s="5"/>
      <c r="N54" s="5"/>
      <c r="O54" s="5"/>
      <c r="P54" s="5"/>
      <c r="Q54" s="5"/>
      <c r="R54" s="5"/>
      <c r="S54" s="5"/>
      <c r="T54" s="5"/>
      <c r="U54" s="5"/>
      <c r="V54" s="5"/>
      <c r="W54" s="5"/>
      <c r="X54" s="5"/>
      <c r="Y54" s="5"/>
      <c r="Z54" s="5"/>
      <c r="AA54" s="5"/>
      <c r="AB54" s="5"/>
    </row>
    <row r="55" ht="15.0" customHeight="1">
      <c r="B55" s="47" t="s">
        <v>172</v>
      </c>
      <c r="C55" s="46">
        <v>4.141</v>
      </c>
      <c r="D55" s="22" t="s">
        <v>38</v>
      </c>
      <c r="E55" s="22" t="s">
        <v>55</v>
      </c>
      <c r="F55" s="22"/>
      <c r="G55" s="22"/>
      <c r="H55" s="5"/>
      <c r="I55" s="5"/>
      <c r="J55" s="5"/>
      <c r="K55" s="5"/>
      <c r="L55" s="5"/>
      <c r="M55" s="5"/>
      <c r="N55" s="5"/>
      <c r="O55" s="5"/>
      <c r="P55" s="5"/>
      <c r="Q55" s="5"/>
      <c r="R55" s="5"/>
      <c r="S55" s="5"/>
      <c r="T55" s="5"/>
      <c r="U55" s="5"/>
      <c r="V55" s="5"/>
      <c r="W55" s="5"/>
      <c r="X55" s="5"/>
      <c r="Y55" s="5"/>
      <c r="Z55" s="5"/>
      <c r="AA55" s="5"/>
      <c r="AB55" s="5"/>
    </row>
    <row r="56">
      <c r="B56" s="47" t="s">
        <v>173</v>
      </c>
      <c r="C56" s="46">
        <f>0.905*C48</f>
        <v>1.208732877</v>
      </c>
      <c r="D56" s="22" t="s">
        <v>38</v>
      </c>
      <c r="E56" s="22" t="s">
        <v>152</v>
      </c>
      <c r="F56" s="22" t="s">
        <v>168</v>
      </c>
      <c r="G56" s="22" t="s">
        <v>174</v>
      </c>
      <c r="H56" s="5"/>
      <c r="I56" s="5"/>
      <c r="J56" s="5"/>
      <c r="K56" s="5"/>
      <c r="L56" s="5"/>
      <c r="M56" s="5"/>
      <c r="N56" s="5"/>
      <c r="O56" s="5"/>
      <c r="P56" s="5"/>
      <c r="Q56" s="5"/>
      <c r="R56" s="5"/>
      <c r="S56" s="5"/>
      <c r="T56" s="5"/>
      <c r="U56" s="5"/>
      <c r="V56" s="5"/>
      <c r="W56" s="5"/>
      <c r="X56" s="5"/>
      <c r="Y56" s="5"/>
      <c r="Z56" s="5"/>
      <c r="AA56" s="5"/>
      <c r="AB56" s="5"/>
    </row>
    <row r="57">
      <c r="B57" s="22" t="s">
        <v>175</v>
      </c>
      <c r="C57" s="46">
        <v>45.0</v>
      </c>
      <c r="D57" s="22" t="s">
        <v>54</v>
      </c>
      <c r="E57" s="22" t="s">
        <v>152</v>
      </c>
      <c r="F57" s="22" t="s">
        <v>156</v>
      </c>
      <c r="G57" s="22" t="s">
        <v>176</v>
      </c>
      <c r="H57" s="5"/>
      <c r="I57" s="5"/>
      <c r="J57" s="5"/>
      <c r="K57" s="5"/>
      <c r="L57" s="5"/>
      <c r="M57" s="5"/>
      <c r="N57" s="5"/>
      <c r="O57" s="5"/>
      <c r="P57" s="5"/>
      <c r="Q57" s="5"/>
      <c r="R57" s="5"/>
      <c r="S57" s="5"/>
      <c r="T57" s="5"/>
      <c r="U57" s="5"/>
      <c r="V57" s="5"/>
      <c r="W57" s="5"/>
      <c r="X57" s="5"/>
      <c r="Y57" s="5"/>
      <c r="Z57" s="5"/>
      <c r="AA57" s="5"/>
      <c r="AB57" s="5"/>
    </row>
    <row r="58">
      <c r="B58" s="22" t="s">
        <v>177</v>
      </c>
      <c r="C58" s="46">
        <f>0.09*C48</f>
        <v>0.1202054795</v>
      </c>
      <c r="D58" s="22" t="s">
        <v>38</v>
      </c>
      <c r="E58" s="22" t="s">
        <v>152</v>
      </c>
      <c r="F58" s="22" t="s">
        <v>156</v>
      </c>
      <c r="G58" s="22" t="s">
        <v>178</v>
      </c>
      <c r="H58" s="5"/>
      <c r="I58" s="5"/>
      <c r="J58" s="5"/>
      <c r="K58" s="5"/>
      <c r="L58" s="5"/>
      <c r="M58" s="5"/>
      <c r="N58" s="5"/>
      <c r="O58" s="5"/>
      <c r="P58" s="5"/>
      <c r="Q58" s="5"/>
      <c r="R58" s="5"/>
      <c r="S58" s="5"/>
      <c r="T58" s="5"/>
      <c r="U58" s="5"/>
      <c r="V58" s="5"/>
      <c r="W58" s="5"/>
      <c r="X58" s="5"/>
      <c r="Y58" s="5"/>
      <c r="Z58" s="5"/>
      <c r="AA58" s="5"/>
      <c r="AB58" s="5"/>
    </row>
    <row r="59">
      <c r="A59" s="48" t="s">
        <v>179</v>
      </c>
      <c r="B59" s="22" t="s">
        <v>180</v>
      </c>
      <c r="C59" s="45">
        <v>39.67</v>
      </c>
      <c r="D59" s="22" t="s">
        <v>181</v>
      </c>
      <c r="E59" s="22" t="s">
        <v>152</v>
      </c>
      <c r="F59" s="22" t="s">
        <v>182</v>
      </c>
      <c r="G59" s="22"/>
      <c r="H59" s="5"/>
      <c r="I59" s="5"/>
      <c r="J59" s="5"/>
      <c r="K59" s="5"/>
      <c r="L59" s="5"/>
      <c r="M59" s="5"/>
      <c r="N59" s="5"/>
      <c r="O59" s="5"/>
      <c r="P59" s="5"/>
      <c r="Q59" s="5"/>
      <c r="R59" s="5"/>
      <c r="S59" s="5"/>
      <c r="T59" s="5"/>
      <c r="U59" s="5"/>
      <c r="V59" s="5"/>
      <c r="W59" s="5"/>
      <c r="X59" s="5"/>
      <c r="Y59" s="5"/>
      <c r="Z59" s="5"/>
      <c r="AA59" s="5"/>
      <c r="AB59" s="5"/>
    </row>
    <row r="60">
      <c r="B60" s="22" t="s">
        <v>183</v>
      </c>
      <c r="C60" s="49">
        <v>0.0932</v>
      </c>
      <c r="D60" s="22" t="s">
        <v>38</v>
      </c>
      <c r="E60" s="22" t="s">
        <v>152</v>
      </c>
      <c r="F60" s="22" t="s">
        <v>182</v>
      </c>
      <c r="G60" s="22"/>
      <c r="H60" s="5"/>
      <c r="I60" s="5"/>
      <c r="J60" s="5"/>
      <c r="K60" s="5"/>
      <c r="L60" s="5"/>
      <c r="M60" s="5"/>
      <c r="N60" s="5"/>
      <c r="O60" s="5"/>
      <c r="P60" s="5"/>
      <c r="Q60" s="5"/>
      <c r="R60" s="5"/>
      <c r="S60" s="5"/>
      <c r="T60" s="5"/>
      <c r="U60" s="5"/>
      <c r="V60" s="5"/>
      <c r="W60" s="5"/>
      <c r="X60" s="5"/>
      <c r="Y60" s="5"/>
      <c r="Z60" s="5"/>
      <c r="AA60" s="5"/>
      <c r="AB60" s="5"/>
    </row>
    <row r="61">
      <c r="B61" s="22" t="s">
        <v>184</v>
      </c>
      <c r="C61" s="45">
        <v>0.7461</v>
      </c>
      <c r="D61" s="22" t="s">
        <v>38</v>
      </c>
      <c r="E61" s="22" t="s">
        <v>152</v>
      </c>
      <c r="F61" s="22" t="s">
        <v>182</v>
      </c>
      <c r="G61" s="22"/>
      <c r="H61" s="5"/>
      <c r="I61" s="5"/>
      <c r="J61" s="5"/>
      <c r="K61" s="5"/>
      <c r="L61" s="5"/>
      <c r="M61" s="5"/>
      <c r="N61" s="5"/>
      <c r="O61" s="5"/>
      <c r="P61" s="5"/>
      <c r="Q61" s="5"/>
      <c r="R61" s="5"/>
      <c r="S61" s="5"/>
      <c r="T61" s="5"/>
      <c r="U61" s="5"/>
      <c r="V61" s="5"/>
      <c r="W61" s="5"/>
      <c r="X61" s="5"/>
      <c r="Y61" s="5"/>
      <c r="Z61" s="5"/>
      <c r="AA61" s="5"/>
      <c r="AB61" s="5"/>
    </row>
    <row r="62">
      <c r="B62" s="22" t="s">
        <v>185</v>
      </c>
      <c r="C62" s="45">
        <f>C60+C61</f>
        <v>0.8393</v>
      </c>
      <c r="D62" s="22" t="s">
        <v>38</v>
      </c>
      <c r="E62" s="22" t="s">
        <v>152</v>
      </c>
      <c r="F62" s="22" t="s">
        <v>182</v>
      </c>
      <c r="G62" s="22"/>
      <c r="H62" s="5"/>
      <c r="I62" s="5"/>
      <c r="J62" s="5"/>
      <c r="K62" s="5"/>
      <c r="L62" s="5"/>
      <c r="M62" s="5"/>
      <c r="N62" s="5"/>
      <c r="O62" s="5"/>
      <c r="P62" s="5"/>
      <c r="Q62" s="5"/>
      <c r="R62" s="5"/>
      <c r="S62" s="5"/>
      <c r="T62" s="5"/>
      <c r="U62" s="5"/>
      <c r="V62" s="5"/>
      <c r="W62" s="5"/>
      <c r="X62" s="5"/>
      <c r="Y62" s="5"/>
      <c r="Z62" s="5"/>
      <c r="AA62" s="5"/>
      <c r="AB62" s="5"/>
    </row>
    <row r="63">
      <c r="B63" s="22" t="s">
        <v>186</v>
      </c>
      <c r="C63" s="45">
        <v>5.0</v>
      </c>
      <c r="D63" s="22" t="s">
        <v>187</v>
      </c>
      <c r="E63" s="22" t="s">
        <v>152</v>
      </c>
      <c r="F63" s="22" t="s">
        <v>182</v>
      </c>
      <c r="G63" s="22"/>
      <c r="H63" s="5"/>
      <c r="I63" s="5"/>
      <c r="J63" s="5"/>
      <c r="K63" s="5"/>
      <c r="L63" s="5"/>
      <c r="M63" s="5"/>
      <c r="N63" s="5"/>
      <c r="O63" s="5"/>
      <c r="P63" s="5"/>
      <c r="Q63" s="5"/>
      <c r="R63" s="5"/>
      <c r="S63" s="5"/>
      <c r="T63" s="5"/>
      <c r="U63" s="5"/>
      <c r="V63" s="5"/>
      <c r="W63" s="5"/>
      <c r="X63" s="5"/>
      <c r="Y63" s="5"/>
      <c r="Z63" s="5"/>
      <c r="AA63" s="5"/>
      <c r="AB63" s="5"/>
    </row>
    <row r="64">
      <c r="B64" s="22" t="s">
        <v>188</v>
      </c>
      <c r="C64" s="45">
        <v>7.0</v>
      </c>
      <c r="D64" s="22" t="s">
        <v>187</v>
      </c>
      <c r="E64" s="22" t="s">
        <v>152</v>
      </c>
      <c r="F64" s="22" t="s">
        <v>182</v>
      </c>
      <c r="G64" s="22"/>
      <c r="H64" s="5"/>
      <c r="I64" s="5"/>
      <c r="J64" s="5"/>
      <c r="K64" s="5"/>
      <c r="L64" s="5"/>
      <c r="M64" s="5"/>
      <c r="N64" s="5"/>
      <c r="O64" s="5"/>
      <c r="P64" s="5"/>
      <c r="Q64" s="5"/>
      <c r="R64" s="5"/>
      <c r="S64" s="5"/>
      <c r="T64" s="5"/>
      <c r="U64" s="5"/>
      <c r="V64" s="5"/>
      <c r="W64" s="5"/>
      <c r="X64" s="5"/>
      <c r="Y64" s="5"/>
      <c r="Z64" s="5"/>
      <c r="AA64" s="5"/>
      <c r="AB64" s="5"/>
    </row>
    <row r="65">
      <c r="B65" s="22" t="s">
        <v>189</v>
      </c>
      <c r="C65" s="45">
        <v>0.5927</v>
      </c>
      <c r="D65" s="22" t="s">
        <v>38</v>
      </c>
      <c r="E65" s="22" t="s">
        <v>152</v>
      </c>
      <c r="F65" s="22" t="s">
        <v>182</v>
      </c>
      <c r="G65" s="22"/>
      <c r="H65" s="5"/>
      <c r="I65" s="5"/>
      <c r="J65" s="5"/>
      <c r="K65" s="5"/>
      <c r="L65" s="5"/>
      <c r="M65" s="5"/>
      <c r="N65" s="5"/>
      <c r="O65" s="5"/>
      <c r="P65" s="5"/>
      <c r="Q65" s="5"/>
      <c r="R65" s="5"/>
      <c r="S65" s="5"/>
      <c r="T65" s="5"/>
      <c r="U65" s="5"/>
      <c r="V65" s="5"/>
      <c r="W65" s="5"/>
      <c r="X65" s="5"/>
      <c r="Y65" s="5"/>
      <c r="Z65" s="5"/>
      <c r="AA65" s="5"/>
      <c r="AB65" s="5"/>
    </row>
    <row r="66">
      <c r="B66" s="22" t="s">
        <v>190</v>
      </c>
      <c r="C66" s="45">
        <v>1.333</v>
      </c>
      <c r="D66" s="22" t="s">
        <v>38</v>
      </c>
      <c r="E66" s="22" t="s">
        <v>152</v>
      </c>
      <c r="F66" s="22" t="s">
        <v>182</v>
      </c>
      <c r="G66" s="22"/>
      <c r="H66" s="5"/>
      <c r="I66" s="5"/>
      <c r="J66" s="5"/>
      <c r="K66" s="5"/>
      <c r="L66" s="5"/>
      <c r="M66" s="5"/>
      <c r="N66" s="5"/>
      <c r="O66" s="5"/>
      <c r="P66" s="5"/>
      <c r="Q66" s="5"/>
      <c r="R66" s="5"/>
      <c r="S66" s="5"/>
      <c r="T66" s="5"/>
      <c r="U66" s="5"/>
      <c r="V66" s="5"/>
      <c r="W66" s="5"/>
      <c r="X66" s="5"/>
      <c r="Y66" s="5"/>
      <c r="Z66" s="5"/>
      <c r="AA66" s="5"/>
      <c r="AB66" s="5"/>
    </row>
    <row r="67">
      <c r="B67" s="22" t="s">
        <v>191</v>
      </c>
      <c r="C67" s="45">
        <v>0.2224</v>
      </c>
      <c r="D67" s="22" t="s">
        <v>38</v>
      </c>
      <c r="E67" s="22" t="s">
        <v>152</v>
      </c>
      <c r="F67" s="22" t="s">
        <v>182</v>
      </c>
      <c r="G67" s="22"/>
      <c r="H67" s="5"/>
      <c r="I67" s="5"/>
      <c r="J67" s="5"/>
      <c r="K67" s="5"/>
      <c r="L67" s="5"/>
      <c r="M67" s="5"/>
      <c r="N67" s="5"/>
      <c r="O67" s="5"/>
      <c r="P67" s="5"/>
      <c r="Q67" s="5"/>
      <c r="R67" s="5"/>
      <c r="S67" s="5"/>
      <c r="T67" s="5"/>
      <c r="U67" s="5"/>
      <c r="V67" s="5"/>
      <c r="W67" s="5"/>
      <c r="X67" s="5"/>
      <c r="Y67" s="5"/>
      <c r="Z67" s="5"/>
      <c r="AA67" s="5"/>
      <c r="AB67" s="5"/>
    </row>
    <row r="68">
      <c r="B68" s="22" t="s">
        <v>192</v>
      </c>
      <c r="C68" s="45">
        <v>77.8</v>
      </c>
      <c r="D68" s="22" t="s">
        <v>193</v>
      </c>
      <c r="E68" s="22" t="s">
        <v>39</v>
      </c>
      <c r="F68" s="22" t="s">
        <v>194</v>
      </c>
      <c r="G68" s="22"/>
      <c r="H68" s="5"/>
      <c r="I68" s="5"/>
      <c r="J68" s="5"/>
      <c r="K68" s="5"/>
      <c r="L68" s="5"/>
      <c r="M68" s="5"/>
      <c r="N68" s="5"/>
      <c r="O68" s="5"/>
      <c r="P68" s="5"/>
      <c r="Q68" s="5"/>
      <c r="R68" s="5"/>
      <c r="S68" s="5"/>
      <c r="T68" s="5"/>
      <c r="U68" s="5"/>
      <c r="V68" s="5"/>
      <c r="W68" s="5"/>
      <c r="X68" s="5"/>
      <c r="Y68" s="5"/>
      <c r="Z68" s="5"/>
      <c r="AA68" s="5"/>
      <c r="AB68" s="5"/>
    </row>
    <row r="69">
      <c r="A69" s="44" t="s">
        <v>195</v>
      </c>
      <c r="B69" s="22" t="s">
        <v>150</v>
      </c>
      <c r="C69" s="45">
        <f>0.3*C3</f>
        <v>1.21875</v>
      </c>
      <c r="D69" s="22" t="s">
        <v>38</v>
      </c>
      <c r="E69" s="22" t="s">
        <v>152</v>
      </c>
      <c r="F69" s="22" t="s">
        <v>156</v>
      </c>
      <c r="G69" s="22" t="s">
        <v>196</v>
      </c>
      <c r="H69" s="5"/>
      <c r="I69" s="5"/>
      <c r="J69" s="5"/>
      <c r="K69" s="5"/>
      <c r="L69" s="5"/>
      <c r="M69" s="5"/>
      <c r="N69" s="5"/>
      <c r="O69" s="5"/>
      <c r="P69" s="5"/>
      <c r="Q69" s="5"/>
      <c r="R69" s="5"/>
      <c r="S69" s="5"/>
      <c r="T69" s="5"/>
      <c r="U69" s="5"/>
      <c r="V69" s="5"/>
      <c r="W69" s="5"/>
      <c r="X69" s="5"/>
      <c r="Y69" s="5"/>
      <c r="Z69" s="5"/>
      <c r="AA69" s="5"/>
      <c r="AB69" s="5"/>
    </row>
    <row r="70">
      <c r="B70" s="22" t="s">
        <v>155</v>
      </c>
      <c r="C70" s="45">
        <f>C69/1.105</f>
        <v>1.102941176</v>
      </c>
      <c r="D70" s="22" t="s">
        <v>38</v>
      </c>
      <c r="E70" s="22" t="s">
        <v>152</v>
      </c>
      <c r="F70" s="22" t="s">
        <v>156</v>
      </c>
      <c r="G70" s="22" t="s">
        <v>197</v>
      </c>
      <c r="H70" s="5"/>
      <c r="I70" s="5"/>
      <c r="J70" s="5"/>
      <c r="K70" s="5"/>
      <c r="L70" s="5"/>
      <c r="M70" s="5"/>
      <c r="N70" s="5"/>
      <c r="O70" s="5"/>
      <c r="P70" s="5"/>
      <c r="Q70" s="5"/>
      <c r="R70" s="5"/>
      <c r="S70" s="5"/>
      <c r="T70" s="5"/>
      <c r="U70" s="5"/>
      <c r="V70" s="5"/>
      <c r="W70" s="5"/>
      <c r="X70" s="5"/>
      <c r="Y70" s="5"/>
      <c r="Z70" s="5"/>
      <c r="AA70" s="5"/>
      <c r="AB70" s="5"/>
    </row>
    <row r="71">
      <c r="B71" s="22" t="s">
        <v>158</v>
      </c>
      <c r="C71" s="50">
        <f>0.24*C70</f>
        <v>0.2647058824</v>
      </c>
      <c r="D71" s="22" t="s">
        <v>38</v>
      </c>
      <c r="E71" s="22" t="s">
        <v>152</v>
      </c>
      <c r="F71" s="22" t="s">
        <v>156</v>
      </c>
      <c r="G71" s="22" t="s">
        <v>198</v>
      </c>
      <c r="H71" s="5"/>
      <c r="I71" s="5"/>
      <c r="J71" s="5"/>
      <c r="K71" s="5"/>
      <c r="L71" s="5"/>
      <c r="M71" s="5"/>
      <c r="N71" s="5"/>
      <c r="O71" s="5"/>
      <c r="P71" s="5"/>
      <c r="Q71" s="5"/>
      <c r="R71" s="5"/>
      <c r="S71" s="5"/>
      <c r="T71" s="5"/>
      <c r="U71" s="5"/>
      <c r="V71" s="5"/>
      <c r="W71" s="5"/>
      <c r="X71" s="5"/>
      <c r="Y71" s="5"/>
      <c r="Z71" s="5"/>
      <c r="AA71" s="5"/>
      <c r="AB71" s="5"/>
    </row>
    <row r="72">
      <c r="B72" s="22" t="s">
        <v>160</v>
      </c>
      <c r="C72" s="50">
        <f>C78/(4*cos(45))</f>
        <v>0.5095471986</v>
      </c>
      <c r="D72" s="22" t="s">
        <v>38</v>
      </c>
      <c r="E72" s="22" t="s">
        <v>152</v>
      </c>
      <c r="F72" s="22" t="s">
        <v>161</v>
      </c>
      <c r="G72" s="22" t="s">
        <v>162</v>
      </c>
      <c r="H72" s="5"/>
      <c r="I72" s="5"/>
      <c r="J72" s="5"/>
      <c r="K72" s="5"/>
      <c r="L72" s="5"/>
      <c r="M72" s="5"/>
      <c r="N72" s="5"/>
      <c r="O72" s="5"/>
      <c r="P72" s="5"/>
      <c r="Q72" s="5"/>
      <c r="R72" s="5"/>
      <c r="S72" s="5"/>
      <c r="T72" s="5"/>
      <c r="U72" s="5"/>
      <c r="V72" s="5"/>
      <c r="W72" s="5"/>
      <c r="X72" s="5"/>
      <c r="Y72" s="5"/>
      <c r="Z72" s="5"/>
      <c r="AA72" s="5"/>
      <c r="AB72" s="5"/>
    </row>
    <row r="73">
      <c r="B73" s="22" t="s">
        <v>163</v>
      </c>
      <c r="C73" s="50">
        <f>(1.1*C69-C69)/2</f>
        <v>0.0609375</v>
      </c>
      <c r="D73" s="22" t="s">
        <v>38</v>
      </c>
      <c r="E73" s="22" t="s">
        <v>164</v>
      </c>
      <c r="F73" s="22" t="s">
        <v>199</v>
      </c>
      <c r="G73" s="22"/>
      <c r="H73" s="5"/>
      <c r="I73" s="5"/>
      <c r="J73" s="5"/>
      <c r="K73" s="5"/>
      <c r="L73" s="5"/>
      <c r="M73" s="5"/>
      <c r="N73" s="5"/>
      <c r="O73" s="5"/>
      <c r="P73" s="5"/>
      <c r="Q73" s="5"/>
      <c r="R73" s="5"/>
      <c r="S73" s="5"/>
      <c r="T73" s="5"/>
      <c r="U73" s="5"/>
      <c r="V73" s="5"/>
      <c r="W73" s="5"/>
      <c r="X73" s="5"/>
      <c r="Y73" s="5"/>
      <c r="Z73" s="5"/>
      <c r="AA73" s="5"/>
      <c r="AB73" s="5"/>
    </row>
    <row r="74">
      <c r="B74" s="22" t="s">
        <v>165</v>
      </c>
      <c r="C74" s="50">
        <f>C69-C73</f>
        <v>1.1578125</v>
      </c>
      <c r="D74" s="22" t="s">
        <v>38</v>
      </c>
      <c r="E74" s="22" t="s">
        <v>164</v>
      </c>
      <c r="F74" s="22" t="s">
        <v>200</v>
      </c>
      <c r="G74" s="22"/>
      <c r="H74" s="5"/>
      <c r="I74" s="5"/>
      <c r="J74" s="5"/>
      <c r="K74" s="5"/>
      <c r="L74" s="5"/>
      <c r="M74" s="5"/>
      <c r="N74" s="5"/>
      <c r="O74" s="5"/>
      <c r="P74" s="5"/>
      <c r="Q74" s="5"/>
      <c r="R74" s="5"/>
      <c r="S74" s="5"/>
      <c r="T74" s="5"/>
      <c r="U74" s="5"/>
      <c r="V74" s="5"/>
      <c r="W74" s="5"/>
      <c r="X74" s="5"/>
      <c r="Y74" s="5"/>
      <c r="Z74" s="5"/>
      <c r="AA74" s="5"/>
      <c r="AB74" s="5"/>
    </row>
    <row r="75">
      <c r="B75" s="22" t="s">
        <v>167</v>
      </c>
      <c r="C75" s="50">
        <f>PI()*C69*0.98*C72</f>
        <v>1.911943241</v>
      </c>
      <c r="D75" s="22" t="s">
        <v>91</v>
      </c>
      <c r="E75" s="22" t="s">
        <v>152</v>
      </c>
      <c r="F75" s="22" t="s">
        <v>168</v>
      </c>
      <c r="G75" s="22" t="s">
        <v>169</v>
      </c>
      <c r="H75" s="5"/>
      <c r="I75" s="5"/>
      <c r="J75" s="5"/>
      <c r="K75" s="5"/>
      <c r="L75" s="5"/>
      <c r="M75" s="5"/>
      <c r="N75" s="5"/>
      <c r="O75" s="5"/>
      <c r="P75" s="5"/>
      <c r="Q75" s="5"/>
      <c r="R75" s="5"/>
      <c r="S75" s="5"/>
      <c r="T75" s="5"/>
      <c r="U75" s="5"/>
      <c r="V75" s="5"/>
      <c r="W75" s="5"/>
      <c r="X75" s="5"/>
      <c r="Y75" s="5"/>
      <c r="Z75" s="5"/>
      <c r="AA75" s="5"/>
      <c r="AB75" s="5"/>
    </row>
    <row r="76">
      <c r="B76" s="22" t="s">
        <v>170</v>
      </c>
      <c r="C76" s="50">
        <f>PI()/4*(C70^2-C71^2)</f>
        <v>0.9003883357</v>
      </c>
      <c r="D76" s="22" t="s">
        <v>91</v>
      </c>
      <c r="E76" s="22" t="s">
        <v>152</v>
      </c>
      <c r="F76" s="22" t="s">
        <v>168</v>
      </c>
      <c r="G76" s="22" t="s">
        <v>201</v>
      </c>
      <c r="H76" s="5"/>
      <c r="I76" s="5"/>
      <c r="J76" s="5"/>
      <c r="K76" s="5"/>
      <c r="L76" s="5"/>
      <c r="M76" s="5"/>
      <c r="N76" s="5"/>
      <c r="O76" s="5"/>
      <c r="P76" s="5"/>
      <c r="Q76" s="5"/>
      <c r="R76" s="5"/>
      <c r="S76" s="5"/>
      <c r="T76" s="5"/>
      <c r="U76" s="5"/>
      <c r="V76" s="5"/>
      <c r="W76" s="5"/>
      <c r="X76" s="5"/>
      <c r="Y76" s="5"/>
      <c r="Z76" s="5"/>
      <c r="AA76" s="5"/>
      <c r="AB76" s="5"/>
    </row>
    <row r="77">
      <c r="B77" s="47" t="s">
        <v>172</v>
      </c>
      <c r="C77" s="50">
        <v>4.141</v>
      </c>
      <c r="D77" s="22" t="s">
        <v>38</v>
      </c>
      <c r="E77" s="22" t="s">
        <v>55</v>
      </c>
      <c r="F77" s="22"/>
      <c r="G77" s="22"/>
      <c r="H77" s="5"/>
      <c r="I77" s="5"/>
      <c r="J77" s="5"/>
      <c r="K77" s="5"/>
      <c r="L77" s="5"/>
      <c r="M77" s="5"/>
      <c r="N77" s="5"/>
      <c r="O77" s="5"/>
      <c r="P77" s="5"/>
      <c r="Q77" s="5"/>
      <c r="R77" s="5"/>
      <c r="S77" s="5"/>
      <c r="T77" s="5"/>
      <c r="U77" s="5"/>
      <c r="V77" s="5"/>
      <c r="W77" s="5"/>
      <c r="X77" s="5"/>
      <c r="Y77" s="5"/>
      <c r="Z77" s="5"/>
      <c r="AA77" s="5"/>
      <c r="AB77" s="5"/>
    </row>
    <row r="78">
      <c r="B78" s="22" t="s">
        <v>173</v>
      </c>
      <c r="C78" s="50">
        <f>(2*sqrt(C76/PI()))</f>
        <v>1.070705391</v>
      </c>
      <c r="D78" s="22" t="s">
        <v>38</v>
      </c>
      <c r="E78" s="22" t="s">
        <v>152</v>
      </c>
      <c r="F78" s="22" t="s">
        <v>168</v>
      </c>
      <c r="G78" s="22" t="s">
        <v>174</v>
      </c>
      <c r="H78" s="5"/>
      <c r="I78" s="5"/>
      <c r="J78" s="5"/>
      <c r="K78" s="5"/>
      <c r="L78" s="5"/>
      <c r="M78" s="5"/>
      <c r="N78" s="5"/>
      <c r="O78" s="5"/>
      <c r="P78" s="5"/>
      <c r="Q78" s="5"/>
      <c r="R78" s="5"/>
      <c r="S78" s="5"/>
      <c r="T78" s="5"/>
      <c r="U78" s="5"/>
      <c r="V78" s="5"/>
      <c r="W78" s="5"/>
      <c r="X78" s="5"/>
      <c r="Y78" s="5"/>
      <c r="Z78" s="5"/>
      <c r="AA78" s="5"/>
      <c r="AB78" s="5"/>
    </row>
    <row r="79">
      <c r="B79" s="22" t="s">
        <v>175</v>
      </c>
      <c r="C79" s="46">
        <v>45.0</v>
      </c>
      <c r="D79" s="22" t="s">
        <v>54</v>
      </c>
      <c r="E79" s="22" t="s">
        <v>152</v>
      </c>
      <c r="F79" s="22" t="s">
        <v>156</v>
      </c>
      <c r="G79" s="22" t="s">
        <v>176</v>
      </c>
      <c r="H79" s="5"/>
      <c r="I79" s="5"/>
      <c r="J79" s="5"/>
      <c r="K79" s="5"/>
      <c r="L79" s="5"/>
      <c r="M79" s="5"/>
      <c r="N79" s="5"/>
      <c r="O79" s="5"/>
      <c r="P79" s="5"/>
      <c r="Q79" s="5"/>
      <c r="R79" s="5"/>
      <c r="S79" s="5"/>
      <c r="T79" s="5"/>
      <c r="U79" s="5"/>
      <c r="V79" s="5"/>
      <c r="W79" s="5"/>
      <c r="X79" s="5"/>
      <c r="Y79" s="5"/>
      <c r="Z79" s="5"/>
      <c r="AA79" s="5"/>
      <c r="AB79" s="5"/>
    </row>
    <row r="80">
      <c r="B80" s="22" t="s">
        <v>177</v>
      </c>
      <c r="C80" s="46">
        <f>0.1*C70</f>
        <v>0.1102941176</v>
      </c>
      <c r="D80" s="22" t="s">
        <v>38</v>
      </c>
      <c r="E80" s="22" t="s">
        <v>152</v>
      </c>
      <c r="F80" s="22" t="s">
        <v>156</v>
      </c>
      <c r="G80" s="22" t="s">
        <v>202</v>
      </c>
      <c r="H80" s="5"/>
      <c r="I80" s="5"/>
      <c r="J80" s="5"/>
      <c r="K80" s="5"/>
      <c r="L80" s="5"/>
      <c r="M80" s="5"/>
      <c r="N80" s="5"/>
      <c r="O80" s="5"/>
      <c r="P80" s="5"/>
      <c r="Q80" s="5"/>
      <c r="R80" s="5"/>
      <c r="S80" s="5"/>
      <c r="T80" s="5"/>
      <c r="U80" s="5"/>
      <c r="V80" s="5"/>
      <c r="W80" s="5"/>
      <c r="X80" s="5"/>
      <c r="Y80" s="5"/>
      <c r="Z80" s="5"/>
      <c r="AA80" s="5"/>
      <c r="AB80" s="5"/>
    </row>
    <row r="81">
      <c r="A81" s="48" t="s">
        <v>203</v>
      </c>
      <c r="B81" s="22" t="s">
        <v>180</v>
      </c>
      <c r="C81" s="46">
        <v>33.8433</v>
      </c>
      <c r="D81" s="22" t="s">
        <v>181</v>
      </c>
      <c r="E81" s="22" t="s">
        <v>152</v>
      </c>
      <c r="F81" s="22" t="s">
        <v>182</v>
      </c>
      <c r="G81" s="51"/>
      <c r="H81" s="5"/>
      <c r="I81" s="16"/>
      <c r="J81" s="5"/>
      <c r="K81" s="5"/>
      <c r="L81" s="5"/>
      <c r="M81" s="5"/>
      <c r="N81" s="5"/>
      <c r="O81" s="5"/>
      <c r="P81" s="5"/>
      <c r="Q81" s="5"/>
      <c r="R81" s="5"/>
      <c r="S81" s="5"/>
      <c r="T81" s="5"/>
      <c r="U81" s="5"/>
      <c r="V81" s="5"/>
      <c r="W81" s="5"/>
      <c r="X81" s="5"/>
      <c r="Y81" s="5"/>
      <c r="Z81" s="5"/>
      <c r="AA81" s="5"/>
      <c r="AB81" s="5"/>
    </row>
    <row r="82">
      <c r="B82" s="22" t="s">
        <v>183</v>
      </c>
      <c r="C82" s="22">
        <v>0.09524</v>
      </c>
      <c r="D82" s="22" t="s">
        <v>38</v>
      </c>
      <c r="E82" s="22" t="s">
        <v>152</v>
      </c>
      <c r="F82" s="22" t="s">
        <v>182</v>
      </c>
      <c r="G82" s="22"/>
      <c r="H82" s="5"/>
      <c r="I82" s="16"/>
      <c r="J82" s="5"/>
      <c r="K82" s="5"/>
      <c r="L82" s="5"/>
      <c r="M82" s="5"/>
      <c r="N82" s="5"/>
      <c r="O82" s="5"/>
      <c r="P82" s="5"/>
      <c r="Q82" s="5"/>
      <c r="R82" s="5"/>
      <c r="S82" s="5"/>
      <c r="T82" s="5"/>
      <c r="U82" s="5"/>
      <c r="V82" s="5"/>
      <c r="W82" s="5"/>
      <c r="X82" s="5"/>
      <c r="Y82" s="5"/>
      <c r="Z82" s="5"/>
      <c r="AA82" s="5"/>
      <c r="AB82" s="5"/>
    </row>
    <row r="83">
      <c r="B83" s="22" t="s">
        <v>184</v>
      </c>
      <c r="C83" s="22">
        <v>0.7619</v>
      </c>
      <c r="D83" s="22" t="s">
        <v>38</v>
      </c>
      <c r="E83" s="22" t="s">
        <v>152</v>
      </c>
      <c r="F83" s="22" t="s">
        <v>182</v>
      </c>
      <c r="G83" s="22"/>
      <c r="H83" s="5"/>
      <c r="I83" s="16"/>
      <c r="J83" s="5"/>
      <c r="K83" s="5"/>
      <c r="L83" s="5"/>
      <c r="M83" s="5"/>
      <c r="N83" s="5"/>
      <c r="O83" s="5"/>
      <c r="P83" s="5"/>
      <c r="Q83" s="5"/>
      <c r="R83" s="5"/>
      <c r="S83" s="5"/>
      <c r="T83" s="5"/>
      <c r="U83" s="5"/>
      <c r="V83" s="5"/>
      <c r="W83" s="5"/>
      <c r="X83" s="5"/>
      <c r="Y83" s="5"/>
      <c r="Z83" s="5"/>
      <c r="AA83" s="5"/>
      <c r="AB83" s="5"/>
    </row>
    <row r="84">
      <c r="B84" s="22" t="s">
        <v>185</v>
      </c>
      <c r="C84" s="22">
        <f>C83+C82</f>
        <v>0.85714</v>
      </c>
      <c r="D84" s="22" t="s">
        <v>38</v>
      </c>
      <c r="E84" s="22" t="s">
        <v>152</v>
      </c>
      <c r="F84" s="22" t="s">
        <v>182</v>
      </c>
      <c r="G84" s="22"/>
      <c r="H84" s="5"/>
      <c r="I84" s="16"/>
      <c r="J84" s="5"/>
      <c r="K84" s="5"/>
      <c r="L84" s="5"/>
      <c r="M84" s="5"/>
      <c r="N84" s="5"/>
      <c r="O84" s="5"/>
      <c r="P84" s="5"/>
      <c r="Q84" s="5"/>
      <c r="R84" s="5"/>
      <c r="S84" s="5"/>
      <c r="T84" s="5"/>
      <c r="U84" s="5"/>
      <c r="V84" s="5"/>
      <c r="W84" s="5"/>
      <c r="X84" s="5"/>
      <c r="Y84" s="5"/>
      <c r="Z84" s="5"/>
      <c r="AA84" s="5"/>
      <c r="AB84" s="5"/>
    </row>
    <row r="85">
      <c r="B85" s="22" t="s">
        <v>186</v>
      </c>
      <c r="C85" s="22">
        <v>5.0</v>
      </c>
      <c r="D85" s="22" t="s">
        <v>187</v>
      </c>
      <c r="E85" s="22" t="s">
        <v>152</v>
      </c>
      <c r="F85" s="22" t="s">
        <v>182</v>
      </c>
      <c r="G85" s="51"/>
      <c r="H85" s="5"/>
      <c r="I85" s="16"/>
      <c r="J85" s="5"/>
      <c r="K85" s="5"/>
      <c r="L85" s="5"/>
      <c r="M85" s="5"/>
      <c r="N85" s="5"/>
      <c r="O85" s="5"/>
      <c r="P85" s="5"/>
      <c r="Q85" s="5"/>
      <c r="R85" s="5"/>
      <c r="S85" s="5"/>
      <c r="T85" s="5"/>
      <c r="U85" s="5"/>
      <c r="V85" s="5"/>
      <c r="W85" s="5"/>
      <c r="X85" s="5"/>
      <c r="Y85" s="5"/>
      <c r="Z85" s="5"/>
      <c r="AA85" s="5"/>
      <c r="AB85" s="5"/>
    </row>
    <row r="86">
      <c r="B86" s="22" t="s">
        <v>188</v>
      </c>
      <c r="C86" s="22">
        <v>7.0</v>
      </c>
      <c r="D86" s="22" t="s">
        <v>187</v>
      </c>
      <c r="E86" s="22" t="s">
        <v>152</v>
      </c>
      <c r="F86" s="22" t="s">
        <v>182</v>
      </c>
      <c r="G86" s="51"/>
      <c r="H86" s="5"/>
      <c r="I86" s="16"/>
      <c r="J86" s="5"/>
      <c r="K86" s="5"/>
      <c r="L86" s="5"/>
      <c r="M86" s="5"/>
      <c r="N86" s="5"/>
      <c r="O86" s="5"/>
      <c r="P86" s="5"/>
      <c r="Q86" s="5"/>
      <c r="R86" s="5"/>
      <c r="S86" s="5"/>
      <c r="T86" s="5"/>
      <c r="U86" s="5"/>
      <c r="V86" s="5"/>
      <c r="W86" s="5"/>
      <c r="X86" s="5"/>
      <c r="Y86" s="5"/>
      <c r="Z86" s="5"/>
      <c r="AA86" s="5"/>
      <c r="AB86" s="5"/>
    </row>
    <row r="87">
      <c r="B87" s="22" t="s">
        <v>189</v>
      </c>
      <c r="C87" s="22">
        <v>0.5927</v>
      </c>
      <c r="D87" s="22" t="s">
        <v>38</v>
      </c>
      <c r="E87" s="22" t="s">
        <v>152</v>
      </c>
      <c r="F87" s="22" t="s">
        <v>182</v>
      </c>
      <c r="G87" s="51"/>
      <c r="H87" s="5"/>
      <c r="I87" s="16"/>
      <c r="J87" s="5"/>
      <c r="K87" s="5"/>
      <c r="L87" s="5"/>
      <c r="M87" s="5"/>
      <c r="N87" s="5"/>
      <c r="O87" s="5"/>
      <c r="P87" s="5"/>
      <c r="Q87" s="5"/>
      <c r="R87" s="5"/>
      <c r="S87" s="5"/>
      <c r="T87" s="5"/>
      <c r="U87" s="5"/>
      <c r="V87" s="5"/>
      <c r="W87" s="5"/>
      <c r="X87" s="5"/>
      <c r="Y87" s="5"/>
      <c r="Z87" s="5"/>
      <c r="AA87" s="5"/>
      <c r="AB87" s="5"/>
    </row>
    <row r="88">
      <c r="B88" s="22" t="s">
        <v>190</v>
      </c>
      <c r="C88" s="22">
        <v>1.348</v>
      </c>
      <c r="D88" s="22" t="s">
        <v>38</v>
      </c>
      <c r="E88" s="22" t="s">
        <v>152</v>
      </c>
      <c r="F88" s="22" t="s">
        <v>182</v>
      </c>
      <c r="G88" s="51"/>
      <c r="H88" s="5"/>
      <c r="I88" s="16"/>
      <c r="J88" s="5"/>
      <c r="K88" s="5"/>
      <c r="L88" s="5"/>
      <c r="M88" s="5"/>
      <c r="N88" s="5"/>
      <c r="O88" s="5"/>
      <c r="P88" s="5"/>
      <c r="Q88" s="5"/>
      <c r="R88" s="5"/>
      <c r="S88" s="5"/>
      <c r="T88" s="5"/>
      <c r="U88" s="5"/>
      <c r="V88" s="5"/>
      <c r="W88" s="5"/>
      <c r="X88" s="5"/>
      <c r="Y88" s="5"/>
      <c r="Z88" s="5"/>
      <c r="AA88" s="5"/>
      <c r="AB88" s="5"/>
    </row>
    <row r="89">
      <c r="B89" s="22" t="s">
        <v>191</v>
      </c>
      <c r="C89" s="22">
        <v>0.2247</v>
      </c>
      <c r="D89" s="22" t="s">
        <v>38</v>
      </c>
      <c r="E89" s="22" t="s">
        <v>152</v>
      </c>
      <c r="F89" s="22" t="s">
        <v>182</v>
      </c>
      <c r="G89" s="51"/>
      <c r="H89" s="5"/>
      <c r="I89" s="16"/>
      <c r="J89" s="5"/>
      <c r="K89" s="5"/>
      <c r="L89" s="5"/>
      <c r="M89" s="5"/>
      <c r="N89" s="5"/>
      <c r="O89" s="5"/>
      <c r="P89" s="5"/>
      <c r="Q89" s="5"/>
      <c r="R89" s="5"/>
      <c r="S89" s="5"/>
      <c r="T89" s="5"/>
      <c r="U89" s="5"/>
      <c r="V89" s="5"/>
      <c r="W89" s="5"/>
      <c r="X89" s="5"/>
      <c r="Y89" s="5"/>
      <c r="Z89" s="5"/>
      <c r="AA89" s="5"/>
      <c r="AB89" s="5"/>
    </row>
    <row r="90">
      <c r="B90" s="22" t="s">
        <v>204</v>
      </c>
      <c r="C90" s="45">
        <v>77.8</v>
      </c>
      <c r="D90" s="22" t="s">
        <v>193</v>
      </c>
      <c r="E90" s="22" t="s">
        <v>39</v>
      </c>
      <c r="F90" s="22" t="s">
        <v>194</v>
      </c>
      <c r="G90" s="51"/>
      <c r="H90" s="5"/>
      <c r="I90" s="16"/>
      <c r="J90" s="5"/>
      <c r="K90" s="5"/>
      <c r="L90" s="5"/>
      <c r="M90" s="5"/>
      <c r="N90" s="5"/>
      <c r="O90" s="5"/>
      <c r="P90" s="5"/>
      <c r="Q90" s="5"/>
      <c r="R90" s="5"/>
      <c r="S90" s="5"/>
      <c r="T90" s="5"/>
      <c r="U90" s="5"/>
      <c r="V90" s="5"/>
      <c r="W90" s="5"/>
      <c r="X90" s="5"/>
      <c r="Y90" s="5"/>
      <c r="Z90" s="5"/>
      <c r="AA90" s="5"/>
      <c r="AB90" s="5"/>
    </row>
    <row r="91">
      <c r="A91" s="34" t="s">
        <v>205</v>
      </c>
      <c r="B91" s="36"/>
      <c r="C91" s="36"/>
      <c r="D91" s="36"/>
      <c r="E91" s="36"/>
      <c r="F91" s="36"/>
      <c r="G91" s="37"/>
      <c r="H91" s="5"/>
      <c r="I91" s="16" t="s">
        <v>206</v>
      </c>
      <c r="J91" s="5"/>
      <c r="K91" s="5"/>
      <c r="L91" s="5"/>
      <c r="M91" s="5"/>
      <c r="N91" s="5"/>
      <c r="O91" s="5"/>
      <c r="P91" s="5"/>
      <c r="Q91" s="5"/>
      <c r="R91" s="5"/>
      <c r="S91" s="5"/>
      <c r="T91" s="5"/>
      <c r="U91" s="5"/>
      <c r="V91" s="5"/>
      <c r="W91" s="5"/>
      <c r="X91" s="5"/>
      <c r="Y91" s="5"/>
      <c r="Z91" s="5"/>
      <c r="AA91" s="5"/>
      <c r="AB91" s="5"/>
    </row>
    <row r="92">
      <c r="A92" s="51"/>
      <c r="B92" s="22"/>
      <c r="C92" s="22"/>
      <c r="D92" s="22"/>
      <c r="E92" s="22"/>
      <c r="F92" s="22"/>
      <c r="G92" s="22"/>
      <c r="H92" s="5"/>
      <c r="I92" s="5"/>
      <c r="J92" s="5"/>
      <c r="K92" s="5"/>
      <c r="L92" s="5"/>
      <c r="M92" s="5"/>
      <c r="N92" s="5"/>
      <c r="O92" s="5"/>
      <c r="P92" s="5"/>
      <c r="Q92" s="5"/>
      <c r="R92" s="5"/>
      <c r="S92" s="5"/>
      <c r="T92" s="5"/>
      <c r="U92" s="5"/>
      <c r="V92" s="5"/>
      <c r="W92" s="5"/>
      <c r="X92" s="5"/>
      <c r="Y92" s="5"/>
      <c r="Z92" s="5"/>
      <c r="AA92" s="5"/>
      <c r="AB92" s="5"/>
    </row>
    <row r="93">
      <c r="A93" s="51"/>
      <c r="B93" s="22"/>
      <c r="C93" s="22"/>
      <c r="D93" s="22"/>
      <c r="E93" s="22"/>
      <c r="F93" s="22"/>
      <c r="G93" s="22"/>
      <c r="H93" s="5"/>
      <c r="I93" s="5"/>
      <c r="J93" s="5"/>
      <c r="K93" s="5"/>
      <c r="L93" s="5"/>
      <c r="M93" s="5"/>
      <c r="N93" s="5"/>
      <c r="O93" s="5"/>
      <c r="P93" s="5"/>
      <c r="Q93" s="5"/>
      <c r="R93" s="5"/>
      <c r="S93" s="5"/>
      <c r="T93" s="5"/>
      <c r="U93" s="5"/>
      <c r="V93" s="5"/>
      <c r="W93" s="5"/>
      <c r="X93" s="5"/>
      <c r="Y93" s="5"/>
      <c r="Z93" s="5"/>
      <c r="AA93" s="5"/>
      <c r="AB93" s="5"/>
    </row>
    <row r="94">
      <c r="A94" s="51"/>
      <c r="B94" s="22"/>
      <c r="C94" s="22"/>
      <c r="D94" s="22"/>
      <c r="E94" s="22"/>
      <c r="F94" s="22"/>
      <c r="G94" s="22"/>
      <c r="H94" s="5"/>
      <c r="I94" s="5"/>
      <c r="J94" s="5"/>
      <c r="K94" s="5"/>
      <c r="L94" s="5"/>
      <c r="M94" s="5"/>
      <c r="N94" s="5"/>
      <c r="O94" s="5"/>
      <c r="P94" s="5"/>
      <c r="Q94" s="5"/>
      <c r="R94" s="5"/>
      <c r="S94" s="5"/>
      <c r="T94" s="5"/>
      <c r="U94" s="5"/>
      <c r="V94" s="5"/>
      <c r="W94" s="5"/>
      <c r="X94" s="5"/>
      <c r="Y94" s="5"/>
      <c r="Z94" s="5"/>
      <c r="AA94" s="5"/>
      <c r="AB94" s="5"/>
    </row>
    <row r="95">
      <c r="A95" s="34" t="s">
        <v>207</v>
      </c>
      <c r="B95" s="36"/>
      <c r="C95" s="36"/>
      <c r="D95" s="36"/>
      <c r="E95" s="36"/>
      <c r="F95" s="36"/>
      <c r="G95" s="37"/>
      <c r="H95" s="5"/>
      <c r="I95" s="5"/>
      <c r="J95" s="5"/>
      <c r="K95" s="5"/>
      <c r="L95" s="5"/>
      <c r="M95" s="5"/>
      <c r="N95" s="5"/>
      <c r="O95" s="5"/>
      <c r="P95" s="5"/>
      <c r="Q95" s="5"/>
      <c r="R95" s="5"/>
      <c r="S95" s="5"/>
      <c r="T95" s="5"/>
      <c r="U95" s="5"/>
      <c r="V95" s="5"/>
      <c r="W95" s="5"/>
      <c r="X95" s="5"/>
      <c r="Y95" s="5"/>
      <c r="Z95" s="5"/>
      <c r="AA95" s="5"/>
      <c r="AB95" s="5"/>
    </row>
    <row r="96">
      <c r="A96" s="16"/>
      <c r="B96" s="33"/>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34" t="s">
        <v>208</v>
      </c>
      <c r="B97" s="36"/>
      <c r="C97" s="36"/>
      <c r="D97" s="36"/>
      <c r="E97" s="36"/>
      <c r="F97" s="36"/>
      <c r="G97" s="37"/>
      <c r="H97" s="5"/>
      <c r="I97" s="5"/>
      <c r="J97" s="5"/>
      <c r="K97" s="5"/>
      <c r="L97" s="5"/>
      <c r="M97" s="5"/>
      <c r="N97" s="5"/>
      <c r="O97" s="5"/>
      <c r="P97" s="5"/>
      <c r="Q97" s="5"/>
      <c r="R97" s="5"/>
      <c r="S97" s="5"/>
      <c r="T97" s="5"/>
      <c r="U97" s="5"/>
      <c r="V97" s="5"/>
      <c r="W97" s="5"/>
      <c r="X97" s="5"/>
      <c r="Y97" s="5"/>
      <c r="Z97" s="5"/>
      <c r="AA97" s="5"/>
      <c r="AB97" s="5"/>
    </row>
    <row r="98">
      <c r="A98" s="5"/>
      <c r="B98" s="33"/>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34" t="s">
        <v>209</v>
      </c>
      <c r="B99" s="36"/>
      <c r="C99" s="36"/>
      <c r="D99" s="36"/>
      <c r="E99" s="36"/>
      <c r="F99" s="36"/>
      <c r="G99" s="37"/>
      <c r="H99" s="5"/>
      <c r="I99" s="5"/>
      <c r="J99" s="5"/>
      <c r="K99" s="5"/>
      <c r="L99" s="5"/>
      <c r="M99" s="5"/>
      <c r="N99" s="5"/>
      <c r="O99" s="5"/>
      <c r="P99" s="5"/>
      <c r="Q99" s="5"/>
      <c r="R99" s="5"/>
      <c r="S99" s="5"/>
      <c r="T99" s="5"/>
      <c r="U99" s="5"/>
      <c r="V99" s="5"/>
      <c r="W99" s="5"/>
      <c r="X99" s="5"/>
      <c r="Y99" s="5"/>
      <c r="Z99" s="5"/>
      <c r="AA99" s="5"/>
      <c r="AB99" s="5"/>
    </row>
    <row r="100">
      <c r="A100" s="5"/>
      <c r="B100" s="16"/>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5"/>
      <c r="B101" s="16"/>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5"/>
      <c r="B102" s="39"/>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16"/>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16"/>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c r="AB1046" s="5"/>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c r="AB1047" s="5"/>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c r="AB1050" s="5"/>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c r="AB1055" s="5"/>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c r="AB1056" s="5"/>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c r="AB1057" s="5"/>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c r="AB1058" s="5"/>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c r="AB1059" s="5"/>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c r="AB1060" s="5"/>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c r="AB1062" s="5"/>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c r="AB1067" s="5"/>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c r="AB1076" s="5"/>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c r="AB1077" s="5"/>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c r="AB1078" s="5"/>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c r="AB1079" s="5"/>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c r="AB1080" s="5"/>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c r="AB1081" s="5"/>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c r="AB1082" s="5"/>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c r="AB1083" s="5"/>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c r="AB1084" s="5"/>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c r="AB1085" s="5"/>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c r="AB1086" s="5"/>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c r="AB1087" s="5"/>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c r="AB1088" s="5"/>
    </row>
  </sheetData>
  <mergeCells count="17">
    <mergeCell ref="A97:G97"/>
    <mergeCell ref="A99:G99"/>
    <mergeCell ref="A31:A37"/>
    <mergeCell ref="A17:A27"/>
    <mergeCell ref="A7:A16"/>
    <mergeCell ref="B14:B15"/>
    <mergeCell ref="A2:G2"/>
    <mergeCell ref="A95:G95"/>
    <mergeCell ref="A91:G91"/>
    <mergeCell ref="A39:A42"/>
    <mergeCell ref="A69:A80"/>
    <mergeCell ref="A59:A68"/>
    <mergeCell ref="A47:A58"/>
    <mergeCell ref="A81:A90"/>
    <mergeCell ref="A44:G44"/>
    <mergeCell ref="A30:G30"/>
    <mergeCell ref="A46:G46"/>
  </mergeCells>
  <hyperlinks>
    <hyperlink r:id="rId1" location="page-4" ref="G7"/>
    <hyperlink r:id="rId2" ref="G3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43"/>
  </cols>
  <sheetData>
    <row r="1">
      <c r="A1" s="1"/>
      <c r="B1" s="1"/>
      <c r="C1" s="1"/>
      <c r="D1" s="1"/>
      <c r="E1" s="1"/>
      <c r="F1" s="1"/>
      <c r="G1" s="1"/>
      <c r="H1" s="1"/>
      <c r="I1" s="1"/>
      <c r="J1" s="1"/>
      <c r="K1" s="1"/>
      <c r="L1" s="1"/>
      <c r="M1" s="1"/>
      <c r="N1" s="1"/>
      <c r="O1" s="1"/>
      <c r="P1" s="1"/>
      <c r="Q1" s="1"/>
      <c r="R1" s="1"/>
      <c r="S1" s="1"/>
      <c r="T1" s="1"/>
      <c r="U1" s="1"/>
      <c r="V1" s="1"/>
      <c r="W1" s="1"/>
      <c r="X1" s="1"/>
      <c r="Y1" s="1"/>
      <c r="Z1" s="1"/>
    </row>
    <row r="2">
      <c r="A2" s="9" t="s">
        <v>0</v>
      </c>
      <c r="B2" s="1"/>
      <c r="C2" s="1"/>
      <c r="D2" s="1"/>
      <c r="E2" s="1"/>
      <c r="F2" s="1"/>
      <c r="G2" s="1"/>
      <c r="H2" s="1"/>
      <c r="I2" s="1"/>
      <c r="J2" s="1"/>
      <c r="K2" s="1"/>
      <c r="L2" s="1"/>
      <c r="M2" s="1"/>
      <c r="N2" s="1"/>
      <c r="O2" s="1"/>
      <c r="P2" s="1"/>
      <c r="Q2" s="1"/>
      <c r="R2" s="1"/>
      <c r="S2" s="1"/>
      <c r="T2" s="1"/>
      <c r="U2" s="1"/>
      <c r="V2" s="1"/>
      <c r="W2" s="1"/>
      <c r="X2" s="1"/>
      <c r="Y2" s="1"/>
      <c r="Z2" s="1"/>
    </row>
    <row r="3">
      <c r="A3" s="9" t="s">
        <v>10</v>
      </c>
      <c r="B3" s="9" t="s">
        <v>11</v>
      </c>
      <c r="C3" s="1"/>
      <c r="D3" s="1"/>
      <c r="E3" s="1"/>
      <c r="F3" s="1"/>
      <c r="G3" s="1"/>
      <c r="H3" s="1"/>
      <c r="I3" s="1"/>
      <c r="J3" s="1"/>
      <c r="K3" s="1"/>
      <c r="L3" s="1"/>
      <c r="M3" s="1"/>
      <c r="N3" s="1"/>
      <c r="O3" s="1"/>
      <c r="P3" s="1"/>
      <c r="Q3" s="1"/>
      <c r="R3" s="1"/>
      <c r="S3" s="1"/>
      <c r="T3" s="1"/>
      <c r="U3" s="1"/>
      <c r="V3" s="1"/>
      <c r="W3" s="1"/>
      <c r="X3" s="1"/>
      <c r="Y3" s="1"/>
      <c r="Z3" s="1"/>
    </row>
    <row r="4">
      <c r="A4" s="9" t="s">
        <v>12</v>
      </c>
      <c r="B4" s="9" t="s">
        <v>13</v>
      </c>
      <c r="C4" s="1"/>
      <c r="D4" s="1"/>
      <c r="E4" s="1"/>
      <c r="F4" s="1"/>
      <c r="G4" s="1"/>
      <c r="H4" s="1"/>
      <c r="I4" s="1"/>
      <c r="J4" s="1"/>
      <c r="K4" s="1"/>
      <c r="L4" s="1"/>
      <c r="M4" s="1"/>
      <c r="N4" s="1"/>
      <c r="O4" s="1"/>
      <c r="P4" s="1"/>
      <c r="Q4" s="1"/>
      <c r="R4" s="1"/>
      <c r="S4" s="1"/>
      <c r="T4" s="1"/>
      <c r="U4" s="1"/>
      <c r="V4" s="1"/>
      <c r="W4" s="1"/>
      <c r="X4" s="1"/>
      <c r="Y4" s="1"/>
      <c r="Z4" s="1"/>
    </row>
    <row r="5">
      <c r="A5" s="9" t="s">
        <v>14</v>
      </c>
      <c r="B5" s="9" t="s">
        <v>13</v>
      </c>
      <c r="C5" s="1"/>
      <c r="D5" s="1"/>
      <c r="E5" s="1"/>
      <c r="F5" s="1"/>
      <c r="G5" s="1"/>
      <c r="H5" s="1"/>
      <c r="I5" s="1"/>
      <c r="J5" s="1"/>
      <c r="K5" s="1"/>
      <c r="L5" s="1"/>
      <c r="M5" s="1"/>
      <c r="N5" s="1"/>
      <c r="O5" s="1"/>
      <c r="P5" s="1"/>
      <c r="Q5" s="1"/>
      <c r="R5" s="1"/>
      <c r="S5" s="1"/>
      <c r="T5" s="1"/>
      <c r="U5" s="1"/>
      <c r="V5" s="1"/>
      <c r="W5" s="1"/>
      <c r="X5" s="1"/>
      <c r="Y5" s="1"/>
      <c r="Z5" s="1"/>
    </row>
    <row r="6">
      <c r="A6" s="9" t="s">
        <v>15</v>
      </c>
      <c r="B6" s="9" t="s">
        <v>16</v>
      </c>
      <c r="C6" s="1"/>
      <c r="D6" s="1"/>
      <c r="E6" s="1"/>
      <c r="F6" s="1"/>
      <c r="G6" s="1"/>
      <c r="H6" s="1"/>
      <c r="I6" s="1"/>
      <c r="J6" s="1"/>
      <c r="K6" s="1"/>
      <c r="L6" s="1"/>
      <c r="M6" s="1"/>
      <c r="N6" s="1"/>
      <c r="O6" s="1"/>
      <c r="P6" s="1"/>
      <c r="Q6" s="1"/>
      <c r="R6" s="1"/>
      <c r="S6" s="1"/>
      <c r="T6" s="1"/>
      <c r="U6" s="1"/>
      <c r="V6" s="1"/>
      <c r="W6" s="1"/>
      <c r="X6" s="1"/>
      <c r="Y6" s="1"/>
      <c r="Z6" s="1"/>
    </row>
    <row r="7">
      <c r="A7" s="9" t="s">
        <v>17</v>
      </c>
      <c r="B7" s="9" t="s">
        <v>18</v>
      </c>
      <c r="C7" s="1"/>
      <c r="D7" s="1"/>
      <c r="E7" s="1"/>
      <c r="F7" s="1"/>
      <c r="G7" s="1"/>
      <c r="H7" s="1"/>
      <c r="I7" s="1"/>
      <c r="J7" s="1"/>
      <c r="K7" s="1"/>
      <c r="L7" s="1"/>
      <c r="M7" s="1"/>
      <c r="N7" s="1"/>
      <c r="O7" s="1"/>
      <c r="P7" s="1"/>
      <c r="Q7" s="1"/>
      <c r="R7" s="1"/>
      <c r="S7" s="1"/>
      <c r="T7" s="1"/>
      <c r="U7" s="1"/>
      <c r="V7" s="1"/>
      <c r="W7" s="1"/>
      <c r="X7" s="1"/>
      <c r="Y7" s="1"/>
      <c r="Z7" s="1"/>
    </row>
    <row r="8">
      <c r="A8" s="9" t="s">
        <v>19</v>
      </c>
      <c r="B8" s="9" t="s">
        <v>20</v>
      </c>
      <c r="C8" s="1"/>
      <c r="D8" s="1"/>
      <c r="E8" s="1"/>
      <c r="F8" s="1"/>
      <c r="G8" s="1"/>
      <c r="H8" s="1"/>
      <c r="I8" s="1"/>
      <c r="J8" s="1"/>
      <c r="K8" s="1"/>
      <c r="L8" s="1"/>
      <c r="M8" s="1"/>
      <c r="N8" s="1"/>
      <c r="O8" s="1"/>
      <c r="P8" s="1"/>
      <c r="Q8" s="1"/>
      <c r="R8" s="1"/>
      <c r="S8" s="1"/>
      <c r="T8" s="1"/>
      <c r="U8" s="1"/>
      <c r="V8" s="1"/>
      <c r="W8" s="1"/>
      <c r="X8" s="1"/>
      <c r="Y8" s="1"/>
      <c r="Z8" s="1"/>
    </row>
    <row r="9">
      <c r="A9" s="9" t="s">
        <v>22</v>
      </c>
      <c r="B9" s="9" t="s">
        <v>23</v>
      </c>
      <c r="C9" s="1"/>
      <c r="D9" s="1"/>
      <c r="E9" s="1"/>
      <c r="F9" s="1"/>
      <c r="G9" s="1"/>
      <c r="H9" s="1"/>
      <c r="I9" s="1"/>
      <c r="J9" s="1"/>
      <c r="K9" s="1"/>
      <c r="L9" s="1"/>
      <c r="M9" s="1"/>
      <c r="N9" s="1"/>
      <c r="O9" s="1"/>
      <c r="P9" s="1"/>
      <c r="Q9" s="1"/>
      <c r="R9" s="1"/>
      <c r="S9" s="1"/>
      <c r="T9" s="1"/>
      <c r="U9" s="1"/>
      <c r="V9" s="1"/>
      <c r="W9" s="1"/>
      <c r="X9" s="1"/>
      <c r="Y9" s="1"/>
      <c r="Z9" s="1"/>
    </row>
    <row r="10">
      <c r="A10" s="9" t="s">
        <v>24</v>
      </c>
      <c r="B10" s="9" t="s">
        <v>25</v>
      </c>
      <c r="C10" s="1"/>
      <c r="D10" s="1"/>
      <c r="E10" s="1"/>
      <c r="F10" s="1"/>
      <c r="G10" s="1"/>
      <c r="H10" s="1"/>
      <c r="I10" s="1"/>
      <c r="J10" s="1"/>
      <c r="K10" s="1"/>
      <c r="L10" s="1"/>
      <c r="M10" s="1"/>
      <c r="N10" s="1"/>
      <c r="O10" s="1"/>
      <c r="P10" s="1"/>
      <c r="Q10" s="1"/>
      <c r="R10" s="1"/>
      <c r="S10" s="1"/>
      <c r="T10" s="1"/>
      <c r="U10" s="1"/>
      <c r="V10" s="1"/>
      <c r="W10" s="1"/>
      <c r="X10" s="1"/>
      <c r="Y10" s="1"/>
      <c r="Z10" s="1"/>
    </row>
    <row r="11">
      <c r="A11" s="9" t="s">
        <v>27</v>
      </c>
      <c r="B11" s="9" t="s">
        <v>23</v>
      </c>
      <c r="C11" s="1"/>
      <c r="D11" s="1"/>
      <c r="E11" s="1"/>
      <c r="F11" s="1"/>
      <c r="G11" s="1"/>
      <c r="H11" s="1"/>
      <c r="I11" s="1"/>
      <c r="J11" s="1"/>
      <c r="K11" s="1"/>
      <c r="L11" s="1"/>
      <c r="M11" s="1"/>
      <c r="N11" s="1"/>
      <c r="O11" s="1"/>
      <c r="P11" s="1"/>
      <c r="Q11" s="1"/>
      <c r="R11" s="1"/>
      <c r="S11" s="1"/>
      <c r="T11" s="1"/>
      <c r="U11" s="1"/>
      <c r="V11" s="1"/>
      <c r="W11" s="1"/>
      <c r="X11" s="1"/>
      <c r="Y11" s="1"/>
      <c r="Z11" s="1"/>
    </row>
    <row r="12">
      <c r="A12" s="9" t="s">
        <v>28</v>
      </c>
      <c r="B12" s="9" t="s">
        <v>29</v>
      </c>
      <c r="C12" s="1"/>
      <c r="D12" s="1"/>
      <c r="E12" s="1"/>
      <c r="F12" s="1"/>
      <c r="G12" s="1"/>
      <c r="H12" s="1"/>
      <c r="I12" s="1"/>
      <c r="J12" s="1"/>
      <c r="K12" s="1"/>
      <c r="L12" s="1"/>
      <c r="M12" s="1"/>
      <c r="N12" s="1"/>
      <c r="O12" s="1"/>
      <c r="P12" s="1"/>
      <c r="Q12" s="1"/>
      <c r="R12" s="1"/>
      <c r="S12" s="1"/>
      <c r="T12" s="1"/>
      <c r="U12" s="1"/>
      <c r="V12" s="1"/>
      <c r="W12" s="1"/>
      <c r="X12" s="1"/>
      <c r="Y12" s="1"/>
      <c r="Z12" s="1"/>
    </row>
    <row r="13">
      <c r="A13" s="9" t="s">
        <v>30</v>
      </c>
      <c r="B13" s="9" t="s">
        <v>31</v>
      </c>
      <c r="C13" s="1"/>
      <c r="D13" s="1"/>
      <c r="E13" s="1"/>
      <c r="F13" s="1"/>
      <c r="G13" s="1"/>
      <c r="H13" s="1"/>
      <c r="I13" s="1"/>
      <c r="J13" s="1"/>
      <c r="K13" s="1"/>
      <c r="L13" s="1"/>
      <c r="M13" s="1"/>
      <c r="N13" s="1"/>
      <c r="O13" s="1"/>
      <c r="P13" s="1"/>
      <c r="Q13" s="1"/>
      <c r="R13" s="1"/>
      <c r="S13" s="1"/>
      <c r="T13" s="1"/>
      <c r="U13" s="1"/>
      <c r="V13" s="1"/>
      <c r="W13" s="1"/>
      <c r="X13" s="1"/>
      <c r="Y13" s="1"/>
      <c r="Z13" s="1"/>
    </row>
    <row r="14">
      <c r="A14" s="9" t="s">
        <v>33</v>
      </c>
      <c r="B14" s="9" t="s">
        <v>35</v>
      </c>
      <c r="C14" s="1"/>
      <c r="D14" s="1"/>
      <c r="E14" s="1"/>
      <c r="F14" s="1"/>
      <c r="G14" s="1"/>
      <c r="H14" s="1"/>
      <c r="I14" s="1"/>
      <c r="J14" s="1"/>
      <c r="K14" s="1"/>
      <c r="L14" s="1"/>
      <c r="M14" s="1"/>
      <c r="N14" s="1"/>
      <c r="O14" s="1"/>
      <c r="P14" s="1"/>
      <c r="Q14" s="1"/>
      <c r="R14" s="1"/>
      <c r="S14" s="1"/>
      <c r="T14" s="1"/>
      <c r="U14" s="1"/>
      <c r="V14" s="1"/>
      <c r="W14" s="1"/>
      <c r="X14" s="1"/>
      <c r="Y14" s="1"/>
      <c r="Z14" s="1"/>
    </row>
    <row r="15">
      <c r="A15" s="9" t="s">
        <v>41</v>
      </c>
      <c r="B15" s="9" t="s">
        <v>42</v>
      </c>
      <c r="C15" s="1"/>
      <c r="D15" s="1"/>
      <c r="E15" s="1"/>
      <c r="F15" s="1"/>
      <c r="G15" s="1"/>
      <c r="H15" s="1"/>
      <c r="I15" s="1"/>
      <c r="J15" s="1"/>
      <c r="K15" s="1"/>
      <c r="L15" s="1"/>
      <c r="M15" s="1"/>
      <c r="N15" s="1"/>
      <c r="O15" s="1"/>
      <c r="P15" s="1"/>
      <c r="Q15" s="1"/>
      <c r="R15" s="1"/>
      <c r="S15" s="1"/>
      <c r="T15" s="1"/>
      <c r="U15" s="1"/>
      <c r="V15" s="1"/>
      <c r="W15" s="1"/>
      <c r="X15" s="1"/>
      <c r="Y15" s="1"/>
      <c r="Z15" s="1"/>
    </row>
    <row r="16">
      <c r="A16" s="9" t="s">
        <v>43</v>
      </c>
      <c r="B16" s="9" t="s">
        <v>44</v>
      </c>
      <c r="C16" s="1"/>
      <c r="D16" s="1"/>
      <c r="E16" s="1"/>
      <c r="F16" s="1"/>
      <c r="G16" s="1"/>
      <c r="H16" s="1"/>
      <c r="I16" s="1"/>
      <c r="J16" s="1"/>
      <c r="K16" s="1"/>
      <c r="L16" s="1"/>
      <c r="M16" s="1"/>
      <c r="N16" s="1"/>
      <c r="O16" s="1"/>
      <c r="P16" s="1"/>
      <c r="Q16" s="1"/>
      <c r="R16" s="1"/>
      <c r="S16" s="1"/>
      <c r="T16" s="1"/>
      <c r="U16" s="1"/>
      <c r="V16" s="1"/>
      <c r="W16" s="1"/>
      <c r="X16" s="1"/>
      <c r="Y16" s="1"/>
      <c r="Z16" s="1"/>
    </row>
    <row r="17">
      <c r="A17" s="9" t="s">
        <v>47</v>
      </c>
      <c r="B17" s="9" t="s">
        <v>44</v>
      </c>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3" max="13" width="16.0"/>
  </cols>
  <sheetData>
    <row r="1">
      <c r="A1" s="2"/>
      <c r="B1" s="4"/>
      <c r="C1" s="4"/>
      <c r="D1" s="4"/>
      <c r="E1" s="4"/>
      <c r="F1" s="2"/>
      <c r="G1" s="2"/>
      <c r="H1" s="2"/>
      <c r="I1" s="2"/>
      <c r="J1" s="2"/>
      <c r="K1" s="2"/>
      <c r="L1" s="2"/>
      <c r="M1" s="2"/>
      <c r="N1" s="2"/>
      <c r="O1" s="2"/>
      <c r="P1" s="2"/>
      <c r="Q1" s="2"/>
      <c r="R1" s="2"/>
      <c r="S1" s="2"/>
      <c r="T1" s="2"/>
      <c r="U1" s="2"/>
      <c r="V1" s="2"/>
      <c r="W1" s="2"/>
      <c r="X1" s="2"/>
      <c r="Y1" s="2"/>
      <c r="Z1" s="2"/>
      <c r="AA1" s="2"/>
      <c r="AB1" s="2"/>
      <c r="AC1" s="2"/>
      <c r="AD1" s="2"/>
    </row>
    <row r="2">
      <c r="A2" s="6" t="s">
        <v>7</v>
      </c>
      <c r="B2" s="8" t="s">
        <v>9</v>
      </c>
      <c r="C2" s="10"/>
      <c r="D2" s="10"/>
      <c r="E2" s="12"/>
      <c r="F2" s="2"/>
      <c r="G2" s="2"/>
      <c r="H2" s="2"/>
      <c r="I2" s="2"/>
      <c r="J2" s="14" t="s">
        <v>21</v>
      </c>
      <c r="L2" s="2"/>
      <c r="M2" s="15" t="s">
        <v>26</v>
      </c>
      <c r="O2" s="2"/>
      <c r="P2" s="2"/>
      <c r="Q2" s="2"/>
      <c r="R2" s="2"/>
      <c r="S2" s="2"/>
      <c r="T2" s="2"/>
      <c r="U2" s="2"/>
      <c r="V2" s="2"/>
      <c r="W2" s="2"/>
      <c r="X2" s="2"/>
      <c r="Y2" s="2"/>
      <c r="Z2" s="2"/>
      <c r="AA2" s="2"/>
      <c r="AB2" s="2"/>
      <c r="AC2" s="2"/>
      <c r="AD2" s="2"/>
    </row>
    <row r="3">
      <c r="A3" s="6"/>
      <c r="B3" s="2" t="s">
        <v>32</v>
      </c>
      <c r="C3" s="2"/>
      <c r="D3" s="2"/>
      <c r="E3" s="6"/>
      <c r="F3" s="2"/>
      <c r="G3" s="2" t="s">
        <v>34</v>
      </c>
      <c r="H3" s="2" t="s">
        <v>36</v>
      </c>
      <c r="I3" s="2"/>
      <c r="J3" s="2" t="s">
        <v>45</v>
      </c>
      <c r="K3" s="17">
        <f>'ConRod Force Analysis'!N19*3</f>
        <v>279.7003413</v>
      </c>
      <c r="L3" s="2" t="s">
        <v>58</v>
      </c>
      <c r="M3" s="18" t="s">
        <v>45</v>
      </c>
      <c r="N3" s="19">
        <f>'ConRod Force Analysis'!F19*3</f>
        <v>194.0825009</v>
      </c>
      <c r="O3" s="18" t="s">
        <v>58</v>
      </c>
      <c r="P3" s="2"/>
      <c r="Q3" s="2"/>
      <c r="R3" s="2"/>
      <c r="S3" s="2"/>
      <c r="T3" s="2"/>
      <c r="U3" s="2"/>
      <c r="V3" s="2"/>
      <c r="W3" s="2"/>
      <c r="X3" s="2"/>
      <c r="Y3" s="2"/>
      <c r="Z3" s="2"/>
      <c r="AA3" s="2"/>
      <c r="AB3" s="2"/>
      <c r="AC3" s="2"/>
      <c r="AD3" s="2"/>
    </row>
    <row r="4">
      <c r="A4" s="6" t="s">
        <v>59</v>
      </c>
      <c r="B4" s="21" t="s">
        <v>60</v>
      </c>
      <c r="C4" s="2"/>
      <c r="D4" s="2"/>
      <c r="E4" s="6"/>
      <c r="F4" s="2"/>
      <c r="G4" s="23">
        <v>45.0</v>
      </c>
      <c r="H4" s="23">
        <f>180-(2*G4)</f>
        <v>90</v>
      </c>
      <c r="I4" s="2"/>
      <c r="J4" s="24" t="s">
        <v>64</v>
      </c>
      <c r="K4" s="25">
        <v>814.0</v>
      </c>
      <c r="L4" s="2" t="s">
        <v>71</v>
      </c>
      <c r="M4" s="18" t="s">
        <v>64</v>
      </c>
      <c r="N4" s="18">
        <v>814.0</v>
      </c>
      <c r="O4" s="18" t="s">
        <v>71</v>
      </c>
      <c r="P4" s="2"/>
      <c r="Q4" s="2"/>
      <c r="R4" s="2"/>
      <c r="S4" s="2"/>
      <c r="T4" s="2"/>
      <c r="U4" s="2"/>
      <c r="V4" s="2"/>
      <c r="W4" s="2"/>
      <c r="X4" s="2"/>
      <c r="Y4" s="2"/>
      <c r="Z4" s="2"/>
      <c r="AA4" s="2"/>
      <c r="AB4" s="2"/>
      <c r="AC4" s="2"/>
      <c r="AD4" s="2"/>
    </row>
    <row r="5">
      <c r="A5" s="6" t="s">
        <v>72</v>
      </c>
      <c r="B5" s="21" t="s">
        <v>73</v>
      </c>
      <c r="C5" s="2"/>
      <c r="D5" s="2"/>
      <c r="E5" s="6"/>
      <c r="F5" s="2"/>
      <c r="G5" s="2"/>
      <c r="H5" s="2"/>
      <c r="I5" s="2"/>
      <c r="J5" s="26" t="s">
        <v>75</v>
      </c>
      <c r="K5" s="27">
        <f>((K3*1000)/(K4*1000000))*(1000^2)</f>
        <v>343.6122129</v>
      </c>
      <c r="L5" s="2" t="s">
        <v>83</v>
      </c>
      <c r="M5" s="26" t="s">
        <v>75</v>
      </c>
      <c r="N5" s="27">
        <f>((N3*1000)/(N4*1000000))*(1000^2)</f>
        <v>238.4305908</v>
      </c>
      <c r="O5" s="18" t="s">
        <v>83</v>
      </c>
      <c r="P5" s="2"/>
      <c r="Q5" s="2"/>
      <c r="R5" s="2"/>
      <c r="S5" s="2"/>
      <c r="T5" s="2"/>
      <c r="U5" s="2"/>
      <c r="V5" s="2"/>
      <c r="W5" s="2"/>
      <c r="X5" s="2"/>
      <c r="Y5" s="2"/>
      <c r="Z5" s="2"/>
      <c r="AA5" s="2"/>
      <c r="AB5" s="2"/>
      <c r="AC5" s="2"/>
      <c r="AD5" s="2"/>
    </row>
    <row r="6">
      <c r="A6" s="6"/>
      <c r="B6" s="2" t="s">
        <v>86</v>
      </c>
      <c r="C6" s="2"/>
      <c r="D6" s="2"/>
      <c r="E6" s="6"/>
      <c r="F6" s="2"/>
      <c r="G6" s="2"/>
      <c r="H6" s="2"/>
      <c r="I6" s="2"/>
      <c r="K6" s="29">
        <f>K5*0.00155</f>
        <v>0.5325989299</v>
      </c>
      <c r="L6" s="18" t="s">
        <v>91</v>
      </c>
      <c r="N6" s="29">
        <f>N5*0.00155</f>
        <v>0.3695674157</v>
      </c>
      <c r="O6" s="18" t="s">
        <v>91</v>
      </c>
      <c r="P6" s="2"/>
      <c r="Q6" s="2"/>
      <c r="R6" s="2"/>
      <c r="S6" s="2"/>
      <c r="T6" s="2"/>
      <c r="U6" s="2"/>
      <c r="V6" s="2"/>
      <c r="W6" s="2"/>
      <c r="X6" s="2"/>
      <c r="Y6" s="2"/>
      <c r="Z6" s="2"/>
      <c r="AA6" s="2"/>
      <c r="AB6" s="2"/>
      <c r="AC6" s="2"/>
      <c r="AD6" s="2"/>
    </row>
    <row r="7">
      <c r="A7" s="6"/>
      <c r="B7" s="4"/>
      <c r="C7" s="4"/>
      <c r="D7" s="4"/>
      <c r="E7" s="30"/>
      <c r="F7" s="2"/>
      <c r="G7" s="2"/>
      <c r="H7" s="2"/>
      <c r="I7" s="2"/>
      <c r="J7" s="26" t="s">
        <v>95</v>
      </c>
      <c r="K7" s="18">
        <v>0.99</v>
      </c>
      <c r="L7" s="18" t="s">
        <v>91</v>
      </c>
      <c r="M7" s="26" t="s">
        <v>95</v>
      </c>
      <c r="N7" s="18">
        <v>0.749</v>
      </c>
      <c r="O7" s="18" t="s">
        <v>91</v>
      </c>
      <c r="P7" s="2"/>
      <c r="Q7" s="2"/>
      <c r="R7" s="2"/>
      <c r="S7" s="2"/>
      <c r="T7" s="2"/>
      <c r="U7" s="2"/>
      <c r="V7" s="2"/>
      <c r="W7" s="2"/>
      <c r="X7" s="2"/>
      <c r="Y7" s="2"/>
      <c r="Z7" s="2"/>
      <c r="AA7" s="2"/>
      <c r="AB7" s="2"/>
      <c r="AC7" s="2"/>
      <c r="AD7" s="2"/>
    </row>
    <row r="8">
      <c r="A8" s="6"/>
      <c r="B8" s="30" t="s">
        <v>97</v>
      </c>
      <c r="C8" s="30" t="s">
        <v>98</v>
      </c>
      <c r="D8" s="30" t="s">
        <v>99</v>
      </c>
      <c r="E8" s="30" t="s">
        <v>100</v>
      </c>
      <c r="F8" s="2"/>
      <c r="G8" s="2"/>
      <c r="H8" s="2"/>
      <c r="I8" s="2"/>
      <c r="K8" s="19">
        <f>K7/0.00155</f>
        <v>638.7096774</v>
      </c>
      <c r="L8" s="18" t="s">
        <v>83</v>
      </c>
      <c r="N8" s="19">
        <f>N7/0.00155</f>
        <v>483.2258065</v>
      </c>
      <c r="O8" s="18" t="s">
        <v>83</v>
      </c>
      <c r="P8" s="2"/>
      <c r="Q8" s="2"/>
      <c r="R8" s="2"/>
      <c r="S8" s="2"/>
      <c r="T8" s="2"/>
      <c r="U8" s="2"/>
      <c r="V8" s="2"/>
      <c r="W8" s="2"/>
      <c r="X8" s="2"/>
      <c r="Y8" s="2"/>
      <c r="Z8" s="2"/>
      <c r="AA8" s="2"/>
      <c r="AB8" s="2"/>
      <c r="AC8" s="2"/>
      <c r="AD8" s="2"/>
    </row>
    <row r="9">
      <c r="A9" s="6"/>
      <c r="B9" s="6" t="s">
        <v>104</v>
      </c>
      <c r="C9" s="31">
        <v>4.1875</v>
      </c>
      <c r="D9" s="32">
        <f>C9*2.54</f>
        <v>10.63625</v>
      </c>
      <c r="E9" s="6" t="s">
        <v>107</v>
      </c>
      <c r="F9" s="2"/>
      <c r="G9" s="2"/>
      <c r="H9" s="2"/>
      <c r="I9" s="2"/>
      <c r="J9" s="18" t="s">
        <v>108</v>
      </c>
      <c r="K9" s="19">
        <f>((K4*1000000)*(K8*0.000001))/((K3/3)*1000)</f>
        <v>5.576428778</v>
      </c>
      <c r="L9" s="2"/>
      <c r="M9" s="18" t="s">
        <v>108</v>
      </c>
      <c r="N9" s="19">
        <f>((N4*1000000)*(N8*0.000001))/((N3/3)*1000)</f>
        <v>6.08008148</v>
      </c>
      <c r="O9" s="2"/>
      <c r="P9" s="2"/>
      <c r="Q9" s="2"/>
      <c r="R9" s="2"/>
      <c r="S9" s="2"/>
      <c r="T9" s="2"/>
      <c r="U9" s="2"/>
      <c r="V9" s="2"/>
      <c r="W9" s="2"/>
      <c r="X9" s="2"/>
      <c r="Y9" s="2"/>
      <c r="Z9" s="2"/>
      <c r="AA9" s="2"/>
      <c r="AB9" s="2"/>
      <c r="AC9" s="2"/>
      <c r="AD9" s="2"/>
    </row>
    <row r="10">
      <c r="A10" s="6"/>
      <c r="B10" s="6" t="s">
        <v>116</v>
      </c>
      <c r="C10" s="32">
        <v>3.0</v>
      </c>
      <c r="D10" s="32">
        <f>C10</f>
        <v>3</v>
      </c>
      <c r="E10" s="6" t="s">
        <v>118</v>
      </c>
      <c r="F10" s="2"/>
      <c r="G10" s="2"/>
      <c r="H10" s="2"/>
      <c r="I10" s="2"/>
      <c r="J10" s="2"/>
      <c r="K10" s="2"/>
      <c r="L10" s="2"/>
      <c r="M10" s="2"/>
      <c r="N10" s="2"/>
      <c r="O10" s="2"/>
      <c r="P10" s="2"/>
      <c r="Q10" s="2"/>
      <c r="R10" s="2"/>
      <c r="S10" s="2"/>
      <c r="T10" s="2"/>
      <c r="U10" s="2"/>
      <c r="V10" s="2"/>
      <c r="W10" s="2"/>
      <c r="X10" s="2"/>
      <c r="Y10" s="2"/>
      <c r="Z10" s="2"/>
      <c r="AA10" s="2"/>
      <c r="AB10" s="2"/>
      <c r="AC10" s="2"/>
      <c r="AD10" s="2"/>
    </row>
    <row r="11">
      <c r="A11" s="6"/>
      <c r="B11" s="6" t="s">
        <v>119</v>
      </c>
      <c r="C11" s="31">
        <f>C9/2</f>
        <v>2.09375</v>
      </c>
      <c r="D11" s="32">
        <f t="shared" ref="D11:D12" si="1">C11*2.54</f>
        <v>5.318125</v>
      </c>
      <c r="E11" s="6" t="s">
        <v>122</v>
      </c>
      <c r="F11" s="2"/>
      <c r="G11" s="2"/>
      <c r="H11" s="2"/>
      <c r="I11" s="2"/>
      <c r="J11" s="35" t="s">
        <v>123</v>
      </c>
      <c r="L11" s="2"/>
      <c r="M11" s="2"/>
      <c r="N11" s="2"/>
      <c r="O11" s="2"/>
      <c r="P11" s="2"/>
      <c r="Q11" s="2"/>
      <c r="R11" s="2"/>
      <c r="S11" s="2"/>
      <c r="T11" s="2"/>
      <c r="U11" s="2"/>
      <c r="V11" s="2"/>
      <c r="W11" s="2"/>
      <c r="X11" s="2"/>
      <c r="Y11" s="2"/>
      <c r="Z11" s="2"/>
      <c r="AA11" s="2"/>
      <c r="AB11" s="2"/>
      <c r="AC11" s="2"/>
      <c r="AD11" s="2"/>
    </row>
    <row r="12">
      <c r="A12" s="6"/>
      <c r="B12" s="30" t="s">
        <v>124</v>
      </c>
      <c r="C12" s="38">
        <f>C10*C11</f>
        <v>6.28125</v>
      </c>
      <c r="D12" s="38">
        <f t="shared" si="1"/>
        <v>15.954375</v>
      </c>
      <c r="E12" s="30" t="s">
        <v>128</v>
      </c>
      <c r="F12" s="2"/>
      <c r="G12" s="2"/>
      <c r="H12" s="2"/>
      <c r="I12" s="2"/>
      <c r="J12" s="2" t="s">
        <v>129</v>
      </c>
      <c r="K12" s="40">
        <v>65500.0</v>
      </c>
      <c r="L12" s="18" t="s">
        <v>132</v>
      </c>
      <c r="M12" s="2"/>
      <c r="N12" s="2"/>
      <c r="O12" s="2"/>
      <c r="P12" s="2"/>
      <c r="Q12" s="2"/>
      <c r="R12" s="2"/>
      <c r="S12" s="2"/>
      <c r="T12" s="2"/>
      <c r="U12" s="2"/>
      <c r="V12" s="2"/>
      <c r="W12" s="2"/>
      <c r="X12" s="2"/>
      <c r="Y12" s="2"/>
      <c r="Z12" s="2"/>
      <c r="AA12" s="2"/>
      <c r="AB12" s="2"/>
      <c r="AC12" s="2"/>
      <c r="AD12" s="2"/>
    </row>
    <row r="13">
      <c r="A13" s="2"/>
      <c r="B13" s="2"/>
      <c r="C13" s="2"/>
      <c r="D13" s="2"/>
      <c r="E13" s="2"/>
      <c r="F13" s="2"/>
      <c r="G13" s="2"/>
      <c r="H13" s="2"/>
      <c r="I13" s="2"/>
      <c r="J13" s="2" t="s">
        <v>133</v>
      </c>
      <c r="K13" s="23">
        <f>'ConRod Force Analysis'!B30*1000000</f>
        <v>407000000</v>
      </c>
      <c r="L13" s="18" t="s">
        <v>134</v>
      </c>
      <c r="M13" s="2"/>
      <c r="N13" s="2"/>
      <c r="O13" s="2"/>
      <c r="P13" s="2"/>
      <c r="Q13" s="2"/>
      <c r="R13" s="2"/>
      <c r="S13" s="2"/>
      <c r="T13" s="2"/>
      <c r="U13" s="2"/>
      <c r="V13" s="2"/>
      <c r="W13" s="2"/>
      <c r="X13" s="2"/>
      <c r="Y13" s="2"/>
      <c r="Z13" s="2"/>
      <c r="AA13" s="2"/>
      <c r="AB13" s="2"/>
      <c r="AC13" s="2"/>
      <c r="AD13" s="2"/>
    </row>
    <row r="14">
      <c r="A14" s="2"/>
      <c r="B14" s="2" t="s">
        <v>135</v>
      </c>
      <c r="C14" s="23">
        <f>C12/C9</f>
        <v>1.5</v>
      </c>
      <c r="D14" s="2"/>
      <c r="E14" s="2"/>
      <c r="F14" s="2"/>
      <c r="G14" s="2"/>
      <c r="H14" s="2"/>
      <c r="I14" s="2"/>
      <c r="J14" s="41" t="s">
        <v>75</v>
      </c>
      <c r="K14" s="42">
        <f>K12/K13</f>
        <v>0.0001609336609</v>
      </c>
      <c r="L14" s="18" t="s">
        <v>91</v>
      </c>
      <c r="M14" s="2"/>
      <c r="N14" s="2"/>
      <c r="O14" s="2"/>
      <c r="P14" s="2"/>
      <c r="Q14" s="2"/>
      <c r="R14" s="2"/>
      <c r="S14" s="2"/>
      <c r="T14" s="2"/>
      <c r="U14" s="2"/>
      <c r="V14" s="2"/>
      <c r="W14" s="2"/>
      <c r="X14" s="2"/>
      <c r="Y14" s="2"/>
      <c r="Z14" s="2"/>
      <c r="AA14" s="2"/>
      <c r="AB14" s="2"/>
      <c r="AC14" s="2"/>
      <c r="AD14" s="2"/>
    </row>
    <row r="15">
      <c r="A15" s="2"/>
      <c r="B15" s="2"/>
      <c r="C15" s="2"/>
      <c r="D15" s="2"/>
      <c r="E15" s="2"/>
      <c r="F15" s="2"/>
      <c r="G15" s="2"/>
      <c r="H15" s="2"/>
      <c r="I15" s="2"/>
      <c r="K15" s="43">
        <f>K14*10000</f>
        <v>1.609336609</v>
      </c>
      <c r="L15" s="18" t="s">
        <v>142</v>
      </c>
      <c r="M15" s="2"/>
      <c r="N15" s="2"/>
      <c r="O15" s="2"/>
      <c r="P15" s="2"/>
      <c r="Q15" s="2"/>
      <c r="R15" s="2"/>
      <c r="S15" s="2"/>
      <c r="T15" s="2"/>
      <c r="U15" s="2"/>
      <c r="V15" s="2"/>
      <c r="W15" s="2"/>
      <c r="X15" s="2"/>
      <c r="Y15" s="2"/>
      <c r="Z15" s="2"/>
      <c r="AA15" s="2"/>
      <c r="AB15" s="2"/>
      <c r="AC15" s="2"/>
      <c r="AD15" s="2"/>
    </row>
    <row r="16">
      <c r="A16" s="2"/>
      <c r="B16" s="2"/>
      <c r="C16" s="2"/>
      <c r="D16" s="2"/>
      <c r="E16" s="2"/>
      <c r="F16" s="2"/>
      <c r="G16" s="2"/>
      <c r="H16" s="2"/>
      <c r="I16" s="2"/>
      <c r="K16" s="18">
        <v>0.28</v>
      </c>
      <c r="L16" s="18" t="s">
        <v>91</v>
      </c>
      <c r="M16" s="2"/>
      <c r="N16" s="2"/>
      <c r="O16" s="2"/>
      <c r="P16" s="2"/>
      <c r="Q16" s="2"/>
      <c r="R16" s="2"/>
      <c r="S16" s="2"/>
      <c r="T16" s="2"/>
      <c r="U16" s="2"/>
      <c r="V16" s="2"/>
      <c r="W16" s="2"/>
      <c r="X16" s="2"/>
      <c r="Y16" s="2"/>
      <c r="Z16" s="2"/>
      <c r="AA16" s="2"/>
      <c r="AB16" s="2"/>
      <c r="AC16" s="2"/>
      <c r="AD16" s="2"/>
    </row>
    <row r="17">
      <c r="A17" s="2"/>
      <c r="B17" s="2" t="s">
        <v>145</v>
      </c>
      <c r="C17" s="2" t="s">
        <v>146</v>
      </c>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c r="A18" s="2"/>
      <c r="B18" s="24" t="s">
        <v>147</v>
      </c>
      <c r="C18" s="17">
        <f>asin(D11/D12)*(360/(2*PI()))</f>
        <v>19.47122063</v>
      </c>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c r="A19" s="2"/>
      <c r="B19" s="2" t="s">
        <v>151</v>
      </c>
      <c r="C19" s="17">
        <f>90-C18</f>
        <v>70.52877937</v>
      </c>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row>
  </sheetData>
  <mergeCells count="9">
    <mergeCell ref="J2:K2"/>
    <mergeCell ref="M2:N2"/>
    <mergeCell ref="M5:M6"/>
    <mergeCell ref="M7:M8"/>
    <mergeCell ref="J7:J8"/>
    <mergeCell ref="J14:J16"/>
    <mergeCell ref="J11:K11"/>
    <mergeCell ref="J5:J6"/>
    <mergeCell ref="B2:E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29"/>
    <col customWidth="1" min="5" max="5" width="24.43"/>
    <col customWidth="1" min="8" max="9" width="21.71"/>
    <col customWidth="1" min="13" max="14" width="21.43"/>
  </cols>
  <sheetData>
    <row r="1">
      <c r="A1" s="52" t="s">
        <v>210</v>
      </c>
      <c r="C1" s="2" t="s">
        <v>3</v>
      </c>
      <c r="D1" s="2"/>
      <c r="E1" s="52" t="s">
        <v>211</v>
      </c>
      <c r="G1" s="2" t="s">
        <v>3</v>
      </c>
      <c r="H1" s="2"/>
      <c r="I1" s="2"/>
      <c r="J1" s="2"/>
      <c r="M1" s="2"/>
      <c r="N1" s="2"/>
      <c r="O1" s="2"/>
      <c r="P1" s="2"/>
      <c r="Q1" s="2"/>
      <c r="R1" s="2"/>
      <c r="S1" s="2"/>
      <c r="T1" s="2"/>
      <c r="U1" s="2"/>
      <c r="V1" s="2"/>
      <c r="W1" s="2"/>
      <c r="X1" s="2"/>
      <c r="Y1" s="2"/>
      <c r="Z1" s="2"/>
      <c r="AA1" s="2"/>
      <c r="AB1" s="2"/>
    </row>
    <row r="2">
      <c r="A2" s="24" t="s">
        <v>212</v>
      </c>
      <c r="B2" s="23">
        <v>1.17683E7</v>
      </c>
      <c r="C2" s="2" t="s">
        <v>134</v>
      </c>
      <c r="D2" s="2"/>
      <c r="E2" s="24" t="s">
        <v>213</v>
      </c>
      <c r="F2" s="23">
        <v>7961200.0</v>
      </c>
      <c r="G2" s="2" t="s">
        <v>134</v>
      </c>
      <c r="H2" s="23"/>
      <c r="I2" s="23">
        <f>F2/1000</f>
        <v>7961.2</v>
      </c>
      <c r="J2" s="2" t="s">
        <v>214</v>
      </c>
      <c r="K2" s="24"/>
      <c r="L2" s="2"/>
      <c r="M2" s="2"/>
      <c r="N2" s="2"/>
      <c r="O2" s="2"/>
      <c r="P2" s="2"/>
      <c r="Q2" s="2"/>
      <c r="R2" s="2"/>
      <c r="S2" s="2"/>
      <c r="T2" s="2"/>
      <c r="U2" s="2"/>
      <c r="V2" s="2"/>
      <c r="W2" s="2"/>
      <c r="X2" s="2"/>
      <c r="Y2" s="2"/>
      <c r="Z2" s="2"/>
      <c r="AA2" s="2"/>
      <c r="AB2" s="2"/>
    </row>
    <row r="3">
      <c r="A3" s="24" t="s">
        <v>215</v>
      </c>
      <c r="B3" s="23">
        <v>0.1031875</v>
      </c>
      <c r="C3" s="2" t="s">
        <v>216</v>
      </c>
      <c r="D3" s="2"/>
      <c r="E3" s="24" t="s">
        <v>215</v>
      </c>
      <c r="F3" s="23">
        <v>0.1031875</v>
      </c>
      <c r="G3" s="2" t="s">
        <v>216</v>
      </c>
      <c r="H3" s="23"/>
      <c r="I3" s="23">
        <f>F3*100</f>
        <v>10.31875</v>
      </c>
      <c r="J3" s="2" t="s">
        <v>80</v>
      </c>
      <c r="K3" s="2"/>
      <c r="L3" s="2"/>
      <c r="M3" s="2"/>
      <c r="N3" s="2"/>
      <c r="O3" s="2"/>
      <c r="P3" s="2"/>
      <c r="Q3" s="2"/>
      <c r="R3" s="2"/>
      <c r="S3" s="2"/>
      <c r="T3" s="2"/>
      <c r="U3" s="2"/>
      <c r="V3" s="2"/>
      <c r="W3" s="2"/>
      <c r="X3" s="2"/>
      <c r="Y3" s="2"/>
      <c r="Z3" s="2"/>
      <c r="AA3" s="2"/>
      <c r="AB3" s="2"/>
    </row>
    <row r="4">
      <c r="A4" s="24" t="s">
        <v>217</v>
      </c>
      <c r="B4" s="23">
        <f>PI()*(B3/2)^2</f>
        <v>0.008362652731</v>
      </c>
      <c r="C4" s="2" t="s">
        <v>218</v>
      </c>
      <c r="D4" s="2"/>
      <c r="E4" s="24" t="s">
        <v>217</v>
      </c>
      <c r="F4" s="23">
        <f>PI()*(F3/2)^2</f>
        <v>0.008362652731</v>
      </c>
      <c r="G4" s="2" t="s">
        <v>218</v>
      </c>
      <c r="H4" s="23"/>
      <c r="I4" s="23">
        <f>F4*10000</f>
        <v>83.62652731</v>
      </c>
      <c r="J4" s="2" t="s">
        <v>142</v>
      </c>
      <c r="K4" s="2"/>
      <c r="L4" s="2"/>
      <c r="M4" s="2"/>
      <c r="N4" s="2"/>
      <c r="O4" s="2"/>
      <c r="P4" s="2"/>
      <c r="Q4" s="2"/>
      <c r="R4" s="2"/>
      <c r="S4" s="2"/>
      <c r="T4" s="2"/>
      <c r="U4" s="2"/>
      <c r="V4" s="2"/>
      <c r="W4" s="2"/>
      <c r="X4" s="2"/>
      <c r="Y4" s="2"/>
      <c r="Z4" s="2"/>
      <c r="AA4" s="2"/>
      <c r="AB4" s="2"/>
    </row>
    <row r="5">
      <c r="A5" s="24" t="s">
        <v>219</v>
      </c>
      <c r="B5" s="23">
        <f>B4*B2</f>
        <v>98414.20614</v>
      </c>
      <c r="C5" s="2" t="s">
        <v>132</v>
      </c>
      <c r="D5" s="2"/>
      <c r="E5" s="2" t="s">
        <v>220</v>
      </c>
      <c r="F5" s="23">
        <f>F4*F2</f>
        <v>66576.75092</v>
      </c>
      <c r="G5" s="2" t="s">
        <v>132</v>
      </c>
      <c r="H5" s="23"/>
      <c r="I5" s="23">
        <f>F5/1000</f>
        <v>66.57675092</v>
      </c>
      <c r="J5" s="2"/>
      <c r="K5" s="2"/>
      <c r="L5" s="2"/>
      <c r="M5" s="2"/>
      <c r="N5" s="2"/>
      <c r="O5" s="2"/>
      <c r="P5" s="2"/>
      <c r="Q5" s="2"/>
      <c r="R5" s="2"/>
      <c r="S5" s="2"/>
      <c r="T5" s="2"/>
      <c r="U5" s="2"/>
      <c r="V5" s="2"/>
      <c r="W5" s="2"/>
      <c r="X5" s="2"/>
      <c r="Y5" s="2"/>
      <c r="Z5" s="2"/>
      <c r="AA5" s="2"/>
      <c r="AB5" s="2"/>
    </row>
    <row r="6">
      <c r="A6" s="2" t="s">
        <v>108</v>
      </c>
      <c r="B6" s="23">
        <v>3.0</v>
      </c>
      <c r="C6" s="2"/>
      <c r="D6" s="2"/>
      <c r="E6" s="2" t="s">
        <v>108</v>
      </c>
      <c r="F6" s="53">
        <v>1.0</v>
      </c>
      <c r="G6" s="2"/>
      <c r="H6" s="2"/>
      <c r="I6" s="2"/>
      <c r="J6" s="2"/>
      <c r="K6" s="2"/>
      <c r="L6" s="2"/>
      <c r="M6" s="2"/>
      <c r="N6" s="2"/>
      <c r="O6" s="2"/>
      <c r="P6" s="2"/>
      <c r="Q6" s="2"/>
      <c r="R6" s="2"/>
      <c r="S6" s="2"/>
      <c r="T6" s="2"/>
      <c r="U6" s="2"/>
      <c r="V6" s="2"/>
      <c r="W6" s="2"/>
      <c r="X6" s="2"/>
      <c r="Y6" s="2"/>
      <c r="Z6" s="2"/>
      <c r="AA6" s="2"/>
      <c r="AB6" s="2"/>
    </row>
    <row r="7">
      <c r="A7" s="54" t="s">
        <v>221</v>
      </c>
      <c r="B7" s="55">
        <f>(B6*B5)/1000</f>
        <v>295.2426184</v>
      </c>
      <c r="C7" s="2"/>
      <c r="D7" s="2"/>
      <c r="E7" s="54" t="s">
        <v>221</v>
      </c>
      <c r="F7" s="56">
        <f>(F6*F5)/1000</f>
        <v>66.57675092</v>
      </c>
      <c r="G7" s="2"/>
      <c r="H7" s="2"/>
      <c r="I7" s="2"/>
      <c r="J7" s="2"/>
      <c r="K7" s="2"/>
      <c r="L7" s="2"/>
      <c r="M7" s="2"/>
      <c r="N7" s="2"/>
      <c r="O7" s="2"/>
      <c r="P7" s="2"/>
      <c r="Q7" s="2"/>
      <c r="R7" s="2"/>
      <c r="S7" s="2"/>
      <c r="T7" s="2"/>
      <c r="U7" s="2"/>
      <c r="V7" s="2"/>
      <c r="W7" s="2"/>
      <c r="X7" s="2"/>
      <c r="Y7" s="2"/>
      <c r="Z7" s="2"/>
      <c r="AA7" s="2"/>
      <c r="AB7" s="2"/>
    </row>
    <row r="8">
      <c r="A8" s="2"/>
      <c r="B8" s="2"/>
      <c r="C8" s="2"/>
      <c r="D8" s="2"/>
      <c r="E8" s="2"/>
      <c r="F8" s="2"/>
      <c r="G8" s="2"/>
      <c r="H8" s="2"/>
      <c r="I8" s="2"/>
      <c r="J8" s="2"/>
      <c r="K8" s="2"/>
      <c r="L8" s="2"/>
      <c r="M8" s="2"/>
      <c r="N8" s="2"/>
      <c r="O8" s="2"/>
      <c r="P8" s="2"/>
      <c r="Q8" s="2"/>
      <c r="R8" s="2"/>
      <c r="S8" s="2"/>
      <c r="T8" s="2"/>
      <c r="U8" s="2"/>
      <c r="V8" s="2"/>
      <c r="W8" s="2"/>
      <c r="X8" s="2"/>
      <c r="Y8" s="2"/>
      <c r="Z8" s="2"/>
      <c r="AA8" s="2"/>
      <c r="AB8" s="2"/>
    </row>
    <row r="9">
      <c r="A9" s="57" t="s">
        <v>222</v>
      </c>
      <c r="C9" s="2"/>
      <c r="D9" s="2"/>
      <c r="E9" s="57" t="s">
        <v>223</v>
      </c>
      <c r="G9" s="2"/>
      <c r="H9" s="58"/>
      <c r="I9" s="59" t="s">
        <v>224</v>
      </c>
      <c r="L9" s="2"/>
      <c r="M9" s="59" t="s">
        <v>225</v>
      </c>
      <c r="P9" s="2"/>
      <c r="Q9" s="2"/>
      <c r="R9" s="2"/>
      <c r="S9" s="2"/>
      <c r="T9" s="2"/>
      <c r="U9" s="2"/>
      <c r="V9" s="2"/>
      <c r="W9" s="2"/>
      <c r="X9" s="2"/>
      <c r="Y9" s="2"/>
      <c r="Z9" s="2"/>
      <c r="AA9" s="2"/>
      <c r="AB9" s="2"/>
    </row>
    <row r="10">
      <c r="A10" s="2" t="s">
        <v>226</v>
      </c>
      <c r="B10" s="23">
        <v>0.963</v>
      </c>
      <c r="C10" s="2" t="s">
        <v>227</v>
      </c>
      <c r="D10" s="2"/>
      <c r="E10" s="2" t="s">
        <v>226</v>
      </c>
      <c r="F10" s="23">
        <f t="shared" ref="F10:F16" si="1">B10</f>
        <v>0.963</v>
      </c>
      <c r="G10" s="2" t="s">
        <v>227</v>
      </c>
      <c r="H10" s="18"/>
      <c r="I10" s="18" t="s">
        <v>228</v>
      </c>
      <c r="J10" s="18">
        <v>0.963</v>
      </c>
      <c r="K10" s="18" t="s">
        <v>227</v>
      </c>
      <c r="L10" s="2"/>
      <c r="M10" s="18" t="s">
        <v>228</v>
      </c>
      <c r="N10" s="18">
        <v>0.963</v>
      </c>
      <c r="O10" s="18" t="s">
        <v>227</v>
      </c>
      <c r="P10" s="2"/>
      <c r="Q10" s="2"/>
      <c r="R10" s="2"/>
      <c r="S10" s="2"/>
      <c r="T10" s="2"/>
      <c r="U10" s="2"/>
      <c r="V10" s="2"/>
      <c r="W10" s="2"/>
      <c r="X10" s="2"/>
      <c r="Y10" s="2"/>
      <c r="Z10" s="2"/>
      <c r="AA10" s="2"/>
      <c r="AB10" s="2"/>
    </row>
    <row r="11">
      <c r="A11" s="2" t="s">
        <v>229</v>
      </c>
      <c r="B11" s="43">
        <f>B23*B24/1000</f>
        <v>0.8694776</v>
      </c>
      <c r="C11" s="2" t="s">
        <v>227</v>
      </c>
      <c r="D11" s="2"/>
      <c r="E11" s="2" t="s">
        <v>229</v>
      </c>
      <c r="F11" s="43">
        <f t="shared" si="1"/>
        <v>0.8694776</v>
      </c>
      <c r="G11" s="2" t="s">
        <v>227</v>
      </c>
      <c r="H11" s="18"/>
      <c r="I11" s="18" t="s">
        <v>230</v>
      </c>
      <c r="J11" s="60">
        <f>(B32*B23)/1000</f>
        <v>2.099953674</v>
      </c>
      <c r="K11" s="18" t="s">
        <v>227</v>
      </c>
      <c r="L11" s="2"/>
      <c r="M11" s="18" t="s">
        <v>230</v>
      </c>
      <c r="N11" s="60">
        <f t="shared" ref="N11:N16" si="2">J11</f>
        <v>2.099953674</v>
      </c>
      <c r="O11" s="18" t="s">
        <v>227</v>
      </c>
      <c r="P11" s="2"/>
      <c r="Q11" s="2"/>
      <c r="R11" s="2"/>
      <c r="S11" s="2"/>
      <c r="T11" s="2"/>
      <c r="U11" s="2"/>
      <c r="V11" s="2"/>
      <c r="W11" s="2"/>
      <c r="X11" s="2"/>
      <c r="Y11" s="2"/>
      <c r="Z11" s="2"/>
      <c r="AA11" s="2"/>
      <c r="AB11" s="2"/>
    </row>
    <row r="12">
      <c r="A12" s="2" t="s">
        <v>231</v>
      </c>
      <c r="B12" s="61">
        <f>'ConRod Dimension Calcs'!D9/200</f>
        <v>0.05318125</v>
      </c>
      <c r="C12" s="2" t="s">
        <v>216</v>
      </c>
      <c r="D12" s="2"/>
      <c r="E12" s="2" t="s">
        <v>231</v>
      </c>
      <c r="F12" s="61">
        <f t="shared" si="1"/>
        <v>0.05318125</v>
      </c>
      <c r="G12" s="2" t="s">
        <v>216</v>
      </c>
      <c r="H12" s="18"/>
      <c r="I12" s="18" t="s">
        <v>231</v>
      </c>
      <c r="J12" s="62">
        <f>F12</f>
        <v>0.05318125</v>
      </c>
      <c r="K12" s="2" t="s">
        <v>216</v>
      </c>
      <c r="L12" s="2"/>
      <c r="M12" s="18" t="s">
        <v>231</v>
      </c>
      <c r="N12" s="62">
        <f t="shared" si="2"/>
        <v>0.05318125</v>
      </c>
      <c r="O12" s="2" t="s">
        <v>216</v>
      </c>
      <c r="P12" s="2"/>
      <c r="Q12" s="2"/>
      <c r="R12" s="2"/>
      <c r="S12" s="2"/>
      <c r="T12" s="2"/>
      <c r="U12" s="2"/>
      <c r="V12" s="2"/>
      <c r="W12" s="2"/>
      <c r="X12" s="2"/>
      <c r="Y12" s="2"/>
      <c r="Z12" s="2"/>
      <c r="AA12" s="2"/>
      <c r="AB12" s="2"/>
    </row>
    <row r="13">
      <c r="A13" s="24" t="s">
        <v>232</v>
      </c>
      <c r="B13" s="63">
        <v>0.2128</v>
      </c>
      <c r="C13" s="2" t="s">
        <v>216</v>
      </c>
      <c r="D13" s="2"/>
      <c r="E13" s="24" t="s">
        <v>232</v>
      </c>
      <c r="F13" s="64">
        <f t="shared" si="1"/>
        <v>0.2128</v>
      </c>
      <c r="G13" s="2" t="s">
        <v>216</v>
      </c>
      <c r="H13" s="24"/>
      <c r="I13" s="24" t="s">
        <v>232</v>
      </c>
      <c r="J13" s="18">
        <v>0.2128</v>
      </c>
      <c r="K13" s="18" t="s">
        <v>216</v>
      </c>
      <c r="L13" s="2"/>
      <c r="M13" s="24" t="s">
        <v>232</v>
      </c>
      <c r="N13" s="2">
        <f t="shared" si="2"/>
        <v>0.2128</v>
      </c>
      <c r="O13" s="2" t="s">
        <v>216</v>
      </c>
      <c r="P13" s="2"/>
      <c r="Q13" s="2"/>
      <c r="R13" s="2"/>
      <c r="S13" s="2"/>
      <c r="T13" s="2"/>
      <c r="U13" s="2"/>
      <c r="V13" s="2"/>
      <c r="W13" s="2"/>
      <c r="X13" s="2"/>
      <c r="Y13" s="2"/>
      <c r="Z13" s="2"/>
      <c r="AA13" s="2"/>
      <c r="AB13" s="2"/>
    </row>
    <row r="14">
      <c r="A14" s="2" t="s">
        <v>233</v>
      </c>
      <c r="B14" s="23">
        <f>B27</f>
        <v>590.7</v>
      </c>
      <c r="C14" s="2" t="s">
        <v>234</v>
      </c>
      <c r="D14" s="2"/>
      <c r="E14" s="2" t="s">
        <v>233</v>
      </c>
      <c r="F14" s="23">
        <f t="shared" si="1"/>
        <v>590.7</v>
      </c>
      <c r="G14" s="2" t="s">
        <v>234</v>
      </c>
      <c r="H14" s="2"/>
      <c r="I14" s="2" t="s">
        <v>233</v>
      </c>
      <c r="J14" s="23">
        <f t="shared" ref="J14:J16" si="3">F14</f>
        <v>590.7</v>
      </c>
      <c r="K14" s="2" t="s">
        <v>234</v>
      </c>
      <c r="L14" s="2"/>
      <c r="M14" s="2" t="s">
        <v>233</v>
      </c>
      <c r="N14" s="2">
        <f t="shared" si="2"/>
        <v>590.7</v>
      </c>
      <c r="O14" s="2" t="s">
        <v>234</v>
      </c>
      <c r="P14" s="2"/>
      <c r="Q14" s="2"/>
      <c r="R14" s="2"/>
      <c r="S14" s="2"/>
      <c r="T14" s="2"/>
      <c r="U14" s="2"/>
      <c r="V14" s="2"/>
      <c r="W14" s="2"/>
      <c r="X14" s="2"/>
      <c r="Y14" s="2"/>
      <c r="Z14" s="2"/>
      <c r="AA14" s="2"/>
      <c r="AB14" s="2"/>
    </row>
    <row r="15">
      <c r="A15" s="2" t="s">
        <v>235</v>
      </c>
      <c r="B15" s="23">
        <v>0.0</v>
      </c>
      <c r="C15" s="2" t="s">
        <v>236</v>
      </c>
      <c r="D15" s="2"/>
      <c r="E15" s="2" t="s">
        <v>235</v>
      </c>
      <c r="F15" s="23">
        <f t="shared" si="1"/>
        <v>0</v>
      </c>
      <c r="G15" s="2" t="s">
        <v>236</v>
      </c>
      <c r="H15" s="2"/>
      <c r="I15" s="2" t="s">
        <v>235</v>
      </c>
      <c r="J15" s="23">
        <f t="shared" si="3"/>
        <v>0</v>
      </c>
      <c r="K15" s="2" t="s">
        <v>236</v>
      </c>
      <c r="L15" s="2"/>
      <c r="M15" s="2" t="s">
        <v>235</v>
      </c>
      <c r="N15" s="2">
        <f t="shared" si="2"/>
        <v>0</v>
      </c>
      <c r="O15" s="2" t="s">
        <v>236</v>
      </c>
      <c r="P15" s="2"/>
      <c r="Q15" s="2"/>
      <c r="R15" s="2"/>
      <c r="S15" s="2"/>
      <c r="T15" s="2"/>
      <c r="U15" s="2"/>
      <c r="V15" s="2"/>
      <c r="W15" s="2"/>
      <c r="X15" s="2"/>
      <c r="Y15" s="2"/>
      <c r="Z15" s="2"/>
      <c r="AA15" s="2"/>
      <c r="AB15" s="2"/>
    </row>
    <row r="16">
      <c r="A16" s="2" t="s">
        <v>237</v>
      </c>
      <c r="B16" s="64">
        <f>(B28/2)/B13</f>
        <v>0.249906015</v>
      </c>
      <c r="C16" s="2"/>
      <c r="D16" s="2"/>
      <c r="E16" s="2" t="s">
        <v>237</v>
      </c>
      <c r="F16" s="64">
        <f t="shared" si="1"/>
        <v>0.249906015</v>
      </c>
      <c r="G16" s="2"/>
      <c r="H16" s="2"/>
      <c r="I16" s="2" t="s">
        <v>237</v>
      </c>
      <c r="J16" s="64">
        <f t="shared" si="3"/>
        <v>0.249906015</v>
      </c>
      <c r="K16" s="2"/>
      <c r="L16" s="2"/>
      <c r="M16" s="2" t="s">
        <v>237</v>
      </c>
      <c r="N16" s="29">
        <f t="shared" si="2"/>
        <v>0.249906015</v>
      </c>
      <c r="O16" s="2"/>
      <c r="P16" s="2"/>
      <c r="Q16" s="2"/>
      <c r="R16" s="2"/>
      <c r="S16" s="2"/>
      <c r="T16" s="2"/>
      <c r="U16" s="2"/>
      <c r="V16" s="2"/>
      <c r="W16" s="2"/>
      <c r="X16" s="2"/>
      <c r="Y16" s="2"/>
      <c r="Z16" s="2"/>
      <c r="AA16" s="2"/>
      <c r="AB16" s="2"/>
    </row>
    <row r="17">
      <c r="A17" s="65" t="s">
        <v>222</v>
      </c>
      <c r="B17" s="66">
        <f>ABS(-(B10+B11)*B12*(B14^2)*(1+B16))</f>
        <v>42501.91666</v>
      </c>
      <c r="C17" s="2" t="s">
        <v>132</v>
      </c>
      <c r="D17" s="2"/>
      <c r="E17" s="2" t="s">
        <v>238</v>
      </c>
      <c r="F17" s="17">
        <f>(F7/3)*1000</f>
        <v>22192.25031</v>
      </c>
      <c r="G17" s="2" t="s">
        <v>132</v>
      </c>
      <c r="H17" s="2"/>
      <c r="I17" s="65" t="s">
        <v>222</v>
      </c>
      <c r="J17" s="66">
        <f>ABS(-(J10+J11)*J12*(J14^2)*(1+J16))</f>
        <v>71041.19678</v>
      </c>
      <c r="K17" s="18" t="s">
        <v>132</v>
      </c>
      <c r="L17" s="2"/>
      <c r="M17" s="2" t="s">
        <v>238</v>
      </c>
      <c r="N17" s="19">
        <f>F17</f>
        <v>22192.25031</v>
      </c>
      <c r="O17" s="2" t="s">
        <v>132</v>
      </c>
      <c r="P17" s="2"/>
      <c r="Q17" s="2"/>
      <c r="R17" s="2"/>
      <c r="S17" s="2"/>
      <c r="T17" s="2"/>
      <c r="U17" s="2"/>
      <c r="V17" s="2"/>
      <c r="W17" s="2"/>
      <c r="X17" s="2"/>
      <c r="Y17" s="2"/>
      <c r="Z17" s="2"/>
      <c r="AA17" s="2"/>
      <c r="AB17" s="2"/>
    </row>
    <row r="18">
      <c r="B18" s="66">
        <f>B17/1000</f>
        <v>42.50191666</v>
      </c>
      <c r="C18" s="2" t="s">
        <v>58</v>
      </c>
      <c r="D18" s="2"/>
      <c r="E18" s="65" t="s">
        <v>223</v>
      </c>
      <c r="F18" s="67">
        <f>ABS((F10+F11)*F12*(F14^2)*(1+F16)+F17)</f>
        <v>64694.16697</v>
      </c>
      <c r="G18" s="2" t="s">
        <v>132</v>
      </c>
      <c r="H18" s="2"/>
      <c r="J18" s="66">
        <f>J17/1000</f>
        <v>71.04119678</v>
      </c>
      <c r="K18" s="18" t="s">
        <v>58</v>
      </c>
      <c r="L18" s="2"/>
      <c r="M18" s="65" t="s">
        <v>223</v>
      </c>
      <c r="N18" s="67">
        <f>ABS(-(N10+N11)*N12*(N14^2)*(1+N16)-N17)</f>
        <v>93233.44709</v>
      </c>
      <c r="O18" s="18" t="s">
        <v>132</v>
      </c>
      <c r="P18" s="2"/>
      <c r="Q18" s="2"/>
      <c r="R18" s="2"/>
      <c r="S18" s="2"/>
      <c r="T18" s="2"/>
      <c r="U18" s="2"/>
      <c r="V18" s="2"/>
      <c r="W18" s="2"/>
      <c r="X18" s="2"/>
      <c r="Y18" s="2"/>
      <c r="Z18" s="2"/>
      <c r="AA18" s="2"/>
      <c r="AB18" s="2"/>
    </row>
    <row r="19">
      <c r="A19" s="2"/>
      <c r="B19" s="2"/>
      <c r="C19" s="2"/>
      <c r="D19" s="2"/>
      <c r="F19" s="66">
        <f>F18/1000</f>
        <v>64.69416697</v>
      </c>
      <c r="G19" s="2" t="s">
        <v>58</v>
      </c>
      <c r="H19" s="2"/>
      <c r="I19" s="2"/>
      <c r="J19" s="2"/>
      <c r="K19" s="2"/>
      <c r="L19" s="2"/>
      <c r="N19" s="66">
        <f>N18/1000</f>
        <v>93.23344709</v>
      </c>
      <c r="O19" s="18" t="s">
        <v>58</v>
      </c>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68" t="s">
        <v>239</v>
      </c>
      <c r="C21" s="2"/>
      <c r="D21" s="2"/>
      <c r="E21" s="18"/>
      <c r="F21" s="2"/>
      <c r="G21" s="2"/>
      <c r="H21" s="2"/>
      <c r="I21" s="18"/>
      <c r="J21" s="2"/>
      <c r="K21" s="2"/>
      <c r="L21" s="2"/>
      <c r="M21" s="2"/>
      <c r="N21" s="2"/>
      <c r="O21" s="2"/>
      <c r="P21" s="2"/>
      <c r="Q21" s="2"/>
      <c r="R21" s="2"/>
      <c r="S21" s="2"/>
      <c r="T21" s="2"/>
      <c r="U21" s="2"/>
      <c r="V21" s="2"/>
      <c r="W21" s="2"/>
      <c r="X21" s="2"/>
      <c r="Y21" s="2"/>
      <c r="Z21" s="2"/>
      <c r="AA21" s="2"/>
      <c r="AB21" s="2"/>
    </row>
    <row r="22">
      <c r="A22" s="69" t="s">
        <v>240</v>
      </c>
      <c r="B22" s="53">
        <v>7870.0</v>
      </c>
      <c r="C22" s="18" t="s">
        <v>241</v>
      </c>
      <c r="D22" s="2"/>
      <c r="E22" s="70"/>
      <c r="F22" s="71"/>
      <c r="G22" s="2"/>
      <c r="H22" s="2"/>
      <c r="I22" s="18"/>
      <c r="J22" s="2"/>
      <c r="K22" s="2"/>
      <c r="L22" s="2"/>
      <c r="M22" s="2"/>
      <c r="N22" s="2"/>
      <c r="O22" s="2"/>
      <c r="P22" s="2"/>
      <c r="Q22" s="2"/>
      <c r="R22" s="2"/>
      <c r="S22" s="2"/>
      <c r="T22" s="2"/>
      <c r="U22" s="2"/>
      <c r="V22" s="2"/>
      <c r="W22" s="2"/>
      <c r="X22" s="2"/>
      <c r="Y22" s="2"/>
      <c r="Z22" s="2"/>
      <c r="AA22" s="2"/>
      <c r="AB22" s="2"/>
    </row>
    <row r="23">
      <c r="B23" s="53">
        <v>7.87</v>
      </c>
      <c r="C23" s="2" t="s">
        <v>242</v>
      </c>
      <c r="D23" s="2"/>
      <c r="E23" s="70" t="s">
        <v>243</v>
      </c>
      <c r="F23" s="71"/>
      <c r="G23" s="2"/>
      <c r="H23" s="2"/>
      <c r="I23" s="18"/>
      <c r="J23" s="2"/>
      <c r="K23" s="2"/>
      <c r="L23" s="2"/>
      <c r="M23" s="2"/>
      <c r="N23" s="2"/>
      <c r="O23" s="2"/>
      <c r="P23" s="2"/>
      <c r="Q23" s="2"/>
      <c r="R23" s="2"/>
      <c r="S23" s="2"/>
      <c r="T23" s="2"/>
      <c r="U23" s="2"/>
      <c r="V23" s="2"/>
      <c r="W23" s="2"/>
      <c r="X23" s="2"/>
      <c r="Y23" s="2"/>
      <c r="Z23" s="2"/>
      <c r="AA23" s="2"/>
      <c r="AB23" s="2"/>
    </row>
    <row r="24">
      <c r="A24" s="72" t="s">
        <v>244</v>
      </c>
      <c r="B24" s="53">
        <v>110.48</v>
      </c>
      <c r="C24" s="2" t="s">
        <v>245</v>
      </c>
      <c r="D24" s="2"/>
      <c r="E24" s="18" t="s">
        <v>246</v>
      </c>
      <c r="F24" s="60">
        <f>(2/3)*B11*B13*B14^2</f>
        <v>43040.04376</v>
      </c>
      <c r="G24" s="18" t="s">
        <v>132</v>
      </c>
      <c r="H24" s="2"/>
      <c r="I24" s="2"/>
      <c r="J24" s="2"/>
      <c r="K24" s="2"/>
      <c r="L24" s="2"/>
      <c r="M24" s="2"/>
      <c r="N24" s="2"/>
      <c r="O24" s="2"/>
      <c r="P24" s="2"/>
      <c r="Q24" s="2"/>
      <c r="R24" s="2"/>
      <c r="S24" s="2"/>
      <c r="T24" s="2"/>
      <c r="U24" s="2"/>
      <c r="V24" s="2"/>
      <c r="W24" s="2"/>
      <c r="X24" s="2"/>
      <c r="Y24" s="2"/>
      <c r="Z24" s="2"/>
      <c r="AA24" s="2"/>
      <c r="AB24" s="2"/>
    </row>
    <row r="25">
      <c r="B25" s="53">
        <v>6.74</v>
      </c>
      <c r="C25" s="18" t="s">
        <v>247</v>
      </c>
      <c r="D25" s="2"/>
      <c r="E25" s="18" t="s">
        <v>248</v>
      </c>
      <c r="F25" s="60">
        <f>(2/3)*J11*B13*B14^2</f>
        <v>103949.8867</v>
      </c>
      <c r="G25" s="18" t="s">
        <v>132</v>
      </c>
      <c r="H25" s="2"/>
      <c r="I25" s="2"/>
      <c r="J25" s="2"/>
      <c r="K25" s="2"/>
      <c r="L25" s="2"/>
      <c r="M25" s="2"/>
      <c r="N25" s="2"/>
      <c r="O25" s="2"/>
      <c r="P25" s="2"/>
      <c r="Q25" s="2"/>
      <c r="R25" s="2"/>
      <c r="S25" s="2"/>
      <c r="T25" s="2"/>
      <c r="U25" s="2"/>
      <c r="V25" s="2"/>
      <c r="W25" s="2"/>
      <c r="X25" s="2"/>
      <c r="Y25" s="2"/>
      <c r="Z25" s="2"/>
      <c r="AA25" s="2"/>
      <c r="AB25" s="2"/>
    </row>
    <row r="26">
      <c r="A26" s="69" t="s">
        <v>249</v>
      </c>
      <c r="B26" s="23">
        <v>5641.0</v>
      </c>
      <c r="C26" s="2" t="s">
        <v>250</v>
      </c>
      <c r="D26" s="2"/>
      <c r="E26" s="70" t="s">
        <v>251</v>
      </c>
      <c r="F26" s="73"/>
      <c r="G26" s="2"/>
      <c r="H26" s="2"/>
      <c r="I26" s="2"/>
      <c r="J26" s="2"/>
      <c r="K26" s="2"/>
      <c r="L26" s="2"/>
      <c r="M26" s="2"/>
      <c r="N26" s="2"/>
      <c r="O26" s="2"/>
      <c r="P26" s="2"/>
      <c r="Q26" s="2"/>
      <c r="R26" s="2"/>
      <c r="S26" s="2"/>
      <c r="T26" s="2"/>
      <c r="U26" s="2"/>
      <c r="V26" s="2"/>
      <c r="W26" s="2"/>
      <c r="X26" s="2"/>
      <c r="Y26" s="2"/>
      <c r="Z26" s="2"/>
      <c r="AA26" s="2"/>
      <c r="AB26" s="2"/>
    </row>
    <row r="27">
      <c r="B27" s="23">
        <v>590.7</v>
      </c>
      <c r="C27" s="2" t="s">
        <v>252</v>
      </c>
      <c r="D27" s="2"/>
      <c r="E27" s="18" t="s">
        <v>246</v>
      </c>
      <c r="F27" s="60">
        <f>F24*B13*0.1283</f>
        <v>1175.089604</v>
      </c>
      <c r="G27" s="18" t="s">
        <v>253</v>
      </c>
      <c r="H27" s="2"/>
      <c r="I27" s="2"/>
      <c r="J27" s="2"/>
      <c r="K27" s="2"/>
      <c r="L27" s="2"/>
      <c r="M27" s="2"/>
      <c r="N27" s="2"/>
      <c r="O27" s="2"/>
      <c r="P27" s="2"/>
      <c r="Q27" s="2"/>
      <c r="R27" s="2"/>
      <c r="S27" s="2"/>
      <c r="T27" s="2"/>
      <c r="U27" s="2"/>
      <c r="V27" s="2"/>
      <c r="W27" s="2"/>
      <c r="X27" s="2"/>
      <c r="Y27" s="2"/>
      <c r="Z27" s="2"/>
      <c r="AA27" s="2"/>
      <c r="AB27" s="2"/>
    </row>
    <row r="28">
      <c r="A28" s="2" t="s">
        <v>254</v>
      </c>
      <c r="B28" s="23">
        <v>0.10636</v>
      </c>
      <c r="C28" s="2" t="s">
        <v>216</v>
      </c>
      <c r="D28" s="2"/>
      <c r="E28" s="18" t="s">
        <v>248</v>
      </c>
      <c r="F28" s="60">
        <f>F25*B13*0.1283</f>
        <v>2838.064755</v>
      </c>
      <c r="G28" s="18" t="s">
        <v>253</v>
      </c>
      <c r="H28" s="2"/>
      <c r="I28" s="2"/>
      <c r="J28" s="2"/>
      <c r="K28" s="2"/>
      <c r="L28" s="2"/>
      <c r="M28" s="2"/>
      <c r="N28" s="2"/>
      <c r="O28" s="2"/>
      <c r="P28" s="2"/>
      <c r="Q28" s="2"/>
      <c r="R28" s="2"/>
      <c r="S28" s="2"/>
      <c r="T28" s="2"/>
      <c r="U28" s="2"/>
      <c r="V28" s="2"/>
      <c r="W28" s="2"/>
      <c r="X28" s="2"/>
      <c r="Y28" s="2"/>
      <c r="Z28" s="2"/>
      <c r="AA28" s="2"/>
      <c r="AB28" s="2"/>
    </row>
    <row r="29">
      <c r="A29" s="2" t="s">
        <v>255</v>
      </c>
      <c r="B29" s="53">
        <v>814.0</v>
      </c>
      <c r="C29" s="2" t="s">
        <v>71</v>
      </c>
      <c r="D29" s="2"/>
      <c r="E29" s="18" t="s">
        <v>256</v>
      </c>
      <c r="F29" s="2">
        <f>(pi()^2*(B35*1000000000*B33))/((B13/2)^2)</f>
        <v>16838105013</v>
      </c>
      <c r="G29" s="18" t="s">
        <v>132</v>
      </c>
      <c r="H29" s="2"/>
      <c r="I29" s="2"/>
      <c r="J29" s="2"/>
      <c r="K29" s="2"/>
      <c r="L29" s="2"/>
      <c r="M29" s="2"/>
      <c r="N29" s="2"/>
      <c r="O29" s="2"/>
      <c r="P29" s="2"/>
      <c r="Q29" s="2"/>
      <c r="R29" s="2"/>
      <c r="S29" s="2"/>
      <c r="T29" s="2"/>
      <c r="U29" s="2"/>
      <c r="V29" s="2"/>
      <c r="W29" s="2"/>
      <c r="X29" s="2"/>
      <c r="Y29" s="2"/>
      <c r="Z29" s="2"/>
      <c r="AA29" s="2"/>
      <c r="AB29" s="2"/>
    </row>
    <row r="30">
      <c r="A30" s="2" t="s">
        <v>133</v>
      </c>
      <c r="B30" s="23">
        <f>B29/2</f>
        <v>407</v>
      </c>
      <c r="C30" s="2" t="s">
        <v>71</v>
      </c>
      <c r="D30" s="2"/>
      <c r="E30" s="72" t="s">
        <v>257</v>
      </c>
      <c r="F30" s="2">
        <f>(B29*1000000)-(((B29*1000000)^2)*(((B13/2)/B39)^2))/(4*pi()^2*(B35*1000000000))</f>
        <v>-139430370191</v>
      </c>
      <c r="G30" s="18" t="s">
        <v>132</v>
      </c>
      <c r="H30" s="2"/>
      <c r="I30" s="2"/>
      <c r="J30" s="2"/>
      <c r="K30" s="2"/>
      <c r="L30" s="2"/>
      <c r="M30" s="2"/>
      <c r="N30" s="2"/>
      <c r="O30" s="2"/>
      <c r="P30" s="2"/>
      <c r="Q30" s="2"/>
      <c r="R30" s="2"/>
      <c r="S30" s="2"/>
      <c r="T30" s="2"/>
      <c r="U30" s="2"/>
      <c r="V30" s="2"/>
      <c r="W30" s="2"/>
      <c r="X30" s="2"/>
      <c r="Y30" s="2"/>
      <c r="Z30" s="2"/>
      <c r="AA30" s="2"/>
      <c r="AB30" s="2"/>
    </row>
    <row r="31">
      <c r="A31" s="74" t="s">
        <v>258</v>
      </c>
      <c r="B31" s="18">
        <v>16.29</v>
      </c>
      <c r="C31" s="18" t="s">
        <v>247</v>
      </c>
      <c r="D31" s="2"/>
      <c r="F31" s="19">
        <f>F30/1000</f>
        <v>-139430370.2</v>
      </c>
      <c r="G31" s="18" t="s">
        <v>58</v>
      </c>
      <c r="H31" s="2"/>
      <c r="I31" s="2"/>
      <c r="J31" s="2"/>
      <c r="K31" s="2"/>
      <c r="L31" s="2"/>
      <c r="M31" s="2"/>
      <c r="N31" s="2"/>
      <c r="O31" s="2"/>
      <c r="P31" s="2"/>
      <c r="Q31" s="2"/>
      <c r="R31" s="2"/>
      <c r="S31" s="2"/>
      <c r="T31" s="2"/>
      <c r="U31" s="2"/>
      <c r="V31" s="2"/>
      <c r="W31" s="2"/>
      <c r="X31" s="2"/>
      <c r="Y31" s="2"/>
      <c r="Z31" s="2"/>
      <c r="AA31" s="2"/>
      <c r="AB31" s="2"/>
    </row>
    <row r="32">
      <c r="B32" s="18">
        <f>B31*16.38</f>
        <v>266.8302</v>
      </c>
      <c r="C32" s="18" t="s">
        <v>245</v>
      </c>
      <c r="D32" s="2"/>
      <c r="E32" s="72" t="s">
        <v>259</v>
      </c>
      <c r="F32" s="75">
        <f>((pi()^2)*(B35*1000000000)*B37)/(B13^2)</f>
        <v>256744.8782</v>
      </c>
      <c r="G32" s="18" t="s">
        <v>132</v>
      </c>
      <c r="H32" s="2">
        <f>((pi()^2)*(B35*1000000000)*B37)/(B13^2)</f>
        <v>256744.8782</v>
      </c>
      <c r="I32" s="2"/>
      <c r="J32" s="2"/>
      <c r="K32" s="2"/>
      <c r="L32" s="2"/>
      <c r="M32" s="2"/>
      <c r="N32" s="2"/>
      <c r="O32" s="2"/>
      <c r="P32" s="2"/>
      <c r="Q32" s="2"/>
      <c r="R32" s="2"/>
      <c r="S32" s="2"/>
      <c r="T32" s="2"/>
      <c r="U32" s="2"/>
      <c r="V32" s="2"/>
      <c r="W32" s="2"/>
      <c r="X32" s="2"/>
      <c r="Y32" s="2"/>
      <c r="Z32" s="2"/>
      <c r="AA32" s="2"/>
      <c r="AB32" s="2"/>
    </row>
    <row r="33">
      <c r="A33" s="72" t="s">
        <v>260</v>
      </c>
      <c r="B33" s="18">
        <v>9.6571E-5</v>
      </c>
      <c r="C33" s="18" t="s">
        <v>261</v>
      </c>
      <c r="D33" s="2"/>
      <c r="F33" s="76">
        <f>F32/1000</f>
        <v>256.7448782</v>
      </c>
      <c r="G33" s="18" t="s">
        <v>58</v>
      </c>
      <c r="H33" s="2"/>
      <c r="I33" s="2"/>
      <c r="J33" s="2"/>
      <c r="K33" s="2"/>
      <c r="L33" s="2"/>
      <c r="M33" s="2"/>
      <c r="N33" s="2"/>
      <c r="O33" s="2"/>
      <c r="P33" s="2"/>
      <c r="Q33" s="2"/>
      <c r="R33" s="2"/>
      <c r="S33" s="2"/>
      <c r="T33" s="2"/>
      <c r="U33" s="2"/>
      <c r="V33" s="2"/>
      <c r="W33" s="2"/>
      <c r="X33" s="2"/>
      <c r="Y33" s="2"/>
      <c r="Z33" s="2"/>
      <c r="AA33" s="2"/>
      <c r="AB33" s="2"/>
    </row>
    <row r="34">
      <c r="B34" s="18">
        <v>0.33</v>
      </c>
      <c r="C34" s="18" t="s">
        <v>262</v>
      </c>
      <c r="D34" s="2"/>
      <c r="E34" s="72" t="s">
        <v>263</v>
      </c>
      <c r="F34" s="2">
        <f>(F29*0.0004832)/(1+(1/7500)*(B13/B39)^2)</f>
        <v>9118.178025</v>
      </c>
      <c r="G34" s="18" t="s">
        <v>132</v>
      </c>
      <c r="H34" s="2"/>
      <c r="I34" s="2"/>
      <c r="J34" s="2"/>
      <c r="K34" s="2"/>
      <c r="L34" s="2"/>
      <c r="M34" s="2"/>
      <c r="N34" s="2"/>
      <c r="O34" s="2"/>
      <c r="P34" s="2"/>
      <c r="Q34" s="2"/>
      <c r="R34" s="2"/>
      <c r="S34" s="2"/>
      <c r="T34" s="2"/>
      <c r="U34" s="2"/>
      <c r="V34" s="2"/>
      <c r="W34" s="2"/>
      <c r="X34" s="2"/>
      <c r="Y34" s="2"/>
      <c r="Z34" s="2"/>
      <c r="AA34" s="2"/>
      <c r="AB34" s="2"/>
    </row>
    <row r="35">
      <c r="A35" s="18" t="s">
        <v>264</v>
      </c>
      <c r="B35" s="18">
        <v>200.0</v>
      </c>
      <c r="C35" s="18" t="s">
        <v>265</v>
      </c>
      <c r="D35" s="2"/>
      <c r="F35" s="19">
        <f>F34/1000</f>
        <v>9.118178025</v>
      </c>
      <c r="G35" s="18" t="s">
        <v>58</v>
      </c>
      <c r="H35" s="2"/>
      <c r="I35" s="2"/>
      <c r="J35" s="2"/>
      <c r="K35" s="2"/>
      <c r="L35" s="2"/>
      <c r="M35" s="2"/>
      <c r="N35" s="2"/>
      <c r="O35" s="2"/>
      <c r="P35" s="2"/>
      <c r="Q35" s="2"/>
      <c r="R35" s="2"/>
      <c r="S35" s="2"/>
      <c r="T35" s="2"/>
      <c r="U35" s="2"/>
      <c r="V35" s="2"/>
      <c r="W35" s="2"/>
      <c r="X35" s="2"/>
      <c r="Y35" s="2"/>
      <c r="Z35" s="2"/>
      <c r="AA35" s="2"/>
      <c r="AB35" s="2"/>
    </row>
    <row r="36">
      <c r="A36" s="72" t="s">
        <v>266</v>
      </c>
      <c r="B36" s="18">
        <v>18.94</v>
      </c>
      <c r="C36" s="18" t="s">
        <v>262</v>
      </c>
      <c r="D36" s="2"/>
      <c r="E36" s="72"/>
      <c r="F36" s="2"/>
      <c r="G36" s="2"/>
      <c r="H36" s="2"/>
      <c r="I36" s="2"/>
      <c r="J36" s="2"/>
      <c r="K36" s="2"/>
      <c r="L36" s="2"/>
      <c r="M36" s="2"/>
      <c r="N36" s="2"/>
      <c r="O36" s="2"/>
      <c r="P36" s="2"/>
      <c r="Q36" s="2"/>
      <c r="R36" s="2"/>
      <c r="S36" s="2"/>
      <c r="T36" s="2"/>
      <c r="U36" s="2"/>
      <c r="V36" s="2"/>
      <c r="W36" s="2"/>
      <c r="X36" s="2"/>
      <c r="Y36" s="2"/>
      <c r="Z36" s="2"/>
      <c r="AA36" s="2"/>
      <c r="AB36" s="2"/>
    </row>
    <row r="37">
      <c r="B37" s="18">
        <v>5.89E-9</v>
      </c>
      <c r="C37" s="18" t="s">
        <v>261</v>
      </c>
      <c r="D37" s="2"/>
      <c r="E37" s="72"/>
      <c r="F37" s="2"/>
      <c r="G37" s="2"/>
      <c r="H37" s="2"/>
      <c r="I37" s="2"/>
      <c r="J37" s="2"/>
      <c r="K37" s="2"/>
      <c r="L37" s="2"/>
      <c r="M37" s="2"/>
      <c r="N37" s="2"/>
      <c r="O37" s="2"/>
      <c r="P37" s="2"/>
      <c r="Q37" s="2"/>
      <c r="R37" s="2"/>
      <c r="S37" s="2"/>
      <c r="T37" s="2"/>
      <c r="U37" s="2"/>
      <c r="V37" s="2"/>
      <c r="W37" s="2"/>
      <c r="X37" s="2"/>
      <c r="Y37" s="2"/>
      <c r="Z37" s="2"/>
      <c r="AA37" s="2"/>
      <c r="AB37" s="2"/>
    </row>
    <row r="38">
      <c r="A38" s="18" t="s">
        <v>268</v>
      </c>
      <c r="B38" s="2">
        <f>B24*B23/1000</f>
        <v>0.8694776</v>
      </c>
      <c r="C38" s="18" t="s">
        <v>227</v>
      </c>
      <c r="D38" s="2"/>
      <c r="E38" s="2"/>
      <c r="F38" s="2"/>
      <c r="G38" s="2"/>
      <c r="H38" s="2"/>
      <c r="I38" s="2"/>
      <c r="J38" s="2"/>
      <c r="K38" s="2"/>
      <c r="L38" s="2"/>
      <c r="M38" s="2"/>
      <c r="N38" s="2"/>
      <c r="O38" s="2"/>
      <c r="P38" s="2"/>
      <c r="Q38" s="2"/>
      <c r="R38" s="2"/>
      <c r="S38" s="2"/>
      <c r="T38" s="2"/>
      <c r="U38" s="2"/>
      <c r="V38" s="2"/>
      <c r="W38" s="2"/>
      <c r="X38" s="2"/>
      <c r="Y38" s="2"/>
      <c r="Z38" s="2"/>
      <c r="AA38" s="2"/>
      <c r="AB38" s="2"/>
    </row>
    <row r="39">
      <c r="A39" s="18" t="s">
        <v>269</v>
      </c>
      <c r="B39" s="18">
        <f>sqrt(B37/B38)</f>
        <v>0.00008230542246</v>
      </c>
      <c r="C39" s="18" t="s">
        <v>218</v>
      </c>
      <c r="D39" s="2"/>
      <c r="E39" s="2"/>
      <c r="F39" s="2"/>
      <c r="G39" s="2"/>
      <c r="H39" s="2"/>
      <c r="I39" s="2"/>
      <c r="J39" s="2"/>
      <c r="K39" s="2"/>
      <c r="L39" s="2"/>
      <c r="M39" s="2"/>
      <c r="N39" s="2"/>
      <c r="O39" s="2"/>
      <c r="P39" s="2"/>
      <c r="Q39" s="2"/>
      <c r="R39" s="2"/>
      <c r="S39" s="2"/>
      <c r="T39" s="2"/>
      <c r="U39" s="2"/>
      <c r="V39" s="2"/>
      <c r="W39" s="2"/>
      <c r="X39" s="2"/>
      <c r="Y39" s="2"/>
      <c r="Z39" s="2"/>
      <c r="AA39" s="2"/>
      <c r="AB39" s="2"/>
    </row>
    <row r="40">
      <c r="A40" s="18" t="s">
        <v>272</v>
      </c>
      <c r="B40" s="60">
        <f>((B13/2)/B39)</f>
        <v>1292.745931</v>
      </c>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18" t="s">
        <v>274</v>
      </c>
      <c r="B41" s="81">
        <f>sqrt(2*(pi()^2)*(B35*1000000000)/(B29*1000000))</f>
        <v>69.6414277</v>
      </c>
      <c r="C41" s="2"/>
      <c r="D41" s="2"/>
      <c r="E41" s="58" t="s">
        <v>108</v>
      </c>
      <c r="F41" s="19">
        <f>F33/F7</f>
        <v>3.856374404</v>
      </c>
      <c r="G41" s="2"/>
      <c r="H41" s="2"/>
      <c r="I41" s="2"/>
      <c r="J41" s="2"/>
      <c r="K41" s="2"/>
      <c r="L41" s="2"/>
      <c r="M41" s="2"/>
      <c r="N41" s="2"/>
      <c r="O41" s="2"/>
      <c r="P41" s="2"/>
      <c r="Q41" s="2"/>
      <c r="R41" s="2"/>
      <c r="S41" s="2"/>
      <c r="T41" s="2"/>
      <c r="U41" s="2"/>
      <c r="V41" s="2"/>
      <c r="W41" s="2"/>
      <c r="X41" s="2"/>
      <c r="Y41" s="2"/>
      <c r="Z41" s="2"/>
      <c r="AA41" s="2"/>
      <c r="AB41" s="2"/>
    </row>
    <row r="42">
      <c r="A42" s="83" t="s">
        <v>277</v>
      </c>
      <c r="B42" s="18">
        <v>0.768</v>
      </c>
      <c r="C42" s="18" t="s">
        <v>91</v>
      </c>
      <c r="D42" s="2"/>
      <c r="E42" s="2"/>
      <c r="F42" s="2"/>
      <c r="G42" s="2"/>
      <c r="H42" s="2"/>
      <c r="I42" s="2"/>
      <c r="J42" s="2"/>
      <c r="K42" s="2"/>
      <c r="L42" s="2"/>
      <c r="M42" s="2"/>
      <c r="N42" s="2"/>
      <c r="O42" s="2"/>
      <c r="P42" s="2"/>
      <c r="Q42" s="2"/>
      <c r="R42" s="2"/>
      <c r="S42" s="2"/>
      <c r="T42" s="2"/>
      <c r="U42" s="2"/>
      <c r="V42" s="2"/>
      <c r="W42" s="2"/>
      <c r="X42" s="2"/>
      <c r="Y42" s="2"/>
      <c r="Z42" s="2"/>
      <c r="AA42" s="2"/>
      <c r="AB42" s="2"/>
    </row>
    <row r="43">
      <c r="B43" s="19">
        <f>B42*6.45</f>
        <v>4.9536</v>
      </c>
      <c r="C43" s="18" t="s">
        <v>142</v>
      </c>
      <c r="D43" s="2"/>
      <c r="E43" s="2"/>
      <c r="F43" s="2"/>
      <c r="G43" s="2"/>
      <c r="H43" s="2"/>
      <c r="I43" s="2"/>
      <c r="J43" s="2"/>
      <c r="K43" s="2"/>
      <c r="L43" s="2"/>
      <c r="M43" s="2"/>
      <c r="N43" s="2"/>
      <c r="O43" s="2"/>
      <c r="P43" s="2"/>
      <c r="Q43" s="2"/>
      <c r="R43" s="2"/>
      <c r="S43" s="2"/>
      <c r="T43" s="2"/>
      <c r="U43" s="2"/>
      <c r="V43" s="2"/>
      <c r="W43" s="2"/>
      <c r="X43" s="2"/>
      <c r="Y43" s="2"/>
      <c r="Z43" s="2"/>
      <c r="AA43" s="2"/>
      <c r="AB43" s="2"/>
    </row>
    <row r="44">
      <c r="A44" s="72" t="s">
        <v>282</v>
      </c>
      <c r="B44" s="2">
        <f>(B43*0.0001)*(B29*1000000)</f>
        <v>403223.04</v>
      </c>
      <c r="C44" s="18" t="s">
        <v>132</v>
      </c>
      <c r="D44" s="2"/>
      <c r="E44" s="2"/>
      <c r="F44" s="2"/>
      <c r="G44" s="2"/>
      <c r="H44" s="2"/>
      <c r="I44" s="2"/>
      <c r="J44" s="2"/>
      <c r="K44" s="2"/>
      <c r="L44" s="2"/>
      <c r="M44" s="2"/>
      <c r="N44" s="2"/>
      <c r="O44" s="2"/>
      <c r="P44" s="2"/>
      <c r="Q44" s="2"/>
      <c r="R44" s="2"/>
      <c r="S44" s="2"/>
      <c r="T44" s="2"/>
      <c r="U44" s="2"/>
      <c r="V44" s="2"/>
      <c r="W44" s="2"/>
      <c r="X44" s="2"/>
      <c r="Y44" s="2"/>
      <c r="Z44" s="2"/>
      <c r="AA44" s="2"/>
      <c r="AB44" s="2"/>
    </row>
    <row r="45">
      <c r="B45" s="19">
        <f>B44/1000</f>
        <v>403.22304</v>
      </c>
      <c r="C45" s="18" t="s">
        <v>58</v>
      </c>
      <c r="D45" s="2"/>
      <c r="E45" s="2"/>
      <c r="F45" s="2"/>
      <c r="G45" s="2"/>
      <c r="H45" s="2"/>
      <c r="I45" s="2"/>
      <c r="J45" s="2"/>
      <c r="K45" s="2"/>
      <c r="L45" s="2"/>
      <c r="M45" s="2"/>
      <c r="N45" s="2"/>
      <c r="O45" s="2"/>
      <c r="P45" s="2"/>
      <c r="Q45" s="2"/>
      <c r="R45" s="2"/>
      <c r="S45" s="2"/>
      <c r="T45" s="2"/>
      <c r="U45" s="2"/>
      <c r="V45" s="2"/>
      <c r="W45" s="2"/>
      <c r="X45" s="2"/>
      <c r="Y45" s="2"/>
      <c r="Z45" s="2"/>
      <c r="AA45" s="2"/>
      <c r="AB45" s="2"/>
    </row>
    <row r="46">
      <c r="A46" s="18" t="s">
        <v>285</v>
      </c>
      <c r="B46" s="19">
        <f>B45/N19</f>
        <v>4.324875381</v>
      </c>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G1006" s="2"/>
      <c r="H1006" s="2"/>
      <c r="I1006" s="2"/>
      <c r="J1006" s="2"/>
      <c r="K1006" s="2"/>
      <c r="L1006" s="2"/>
      <c r="M1006" s="2"/>
      <c r="N1006" s="2"/>
      <c r="O1006" s="2"/>
      <c r="P1006" s="2"/>
      <c r="Q1006" s="2"/>
      <c r="R1006" s="2"/>
      <c r="S1006" s="2"/>
      <c r="T1006" s="2"/>
      <c r="U1006" s="2"/>
      <c r="V1006" s="2"/>
      <c r="W1006" s="2"/>
      <c r="X1006" s="2"/>
      <c r="Y1006" s="2"/>
      <c r="Z1006" s="2"/>
      <c r="AA1006" s="2"/>
      <c r="AB1006" s="2"/>
    </row>
  </sheetData>
  <mergeCells count="23">
    <mergeCell ref="E9:F9"/>
    <mergeCell ref="A9:B9"/>
    <mergeCell ref="K1:L1"/>
    <mergeCell ref="M18:M19"/>
    <mergeCell ref="I17:I18"/>
    <mergeCell ref="M9:O9"/>
    <mergeCell ref="I9:K9"/>
    <mergeCell ref="A17:A18"/>
    <mergeCell ref="A33:A34"/>
    <mergeCell ref="A42:A43"/>
    <mergeCell ref="A44:A45"/>
    <mergeCell ref="A36:A37"/>
    <mergeCell ref="A22:A23"/>
    <mergeCell ref="A21:B21"/>
    <mergeCell ref="E32:E33"/>
    <mergeCell ref="E30:E31"/>
    <mergeCell ref="E1:F1"/>
    <mergeCell ref="A1:B1"/>
    <mergeCell ref="E34:E35"/>
    <mergeCell ref="A26:A27"/>
    <mergeCell ref="A31:A32"/>
    <mergeCell ref="E18:E19"/>
    <mergeCell ref="A24:A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77" t="s">
        <v>267</v>
      </c>
      <c r="B1" s="78">
        <f>'ConRod Force Analysis'!F19</f>
        <v>64.69416697</v>
      </c>
      <c r="C1" s="79" t="s">
        <v>58</v>
      </c>
    </row>
    <row r="2">
      <c r="A2" s="77" t="s">
        <v>270</v>
      </c>
      <c r="B2" s="78">
        <f>B1</f>
        <v>64.69416697</v>
      </c>
      <c r="C2" s="79" t="s">
        <v>58</v>
      </c>
    </row>
    <row r="3">
      <c r="A3" s="77" t="s">
        <v>271</v>
      </c>
      <c r="B3" s="78">
        <f>'ConRod Force Analysis'!N19/2</f>
        <v>46.61672355</v>
      </c>
      <c r="C3" s="79" t="s">
        <v>58</v>
      </c>
    </row>
    <row r="4">
      <c r="A4" s="80" t="s">
        <v>273</v>
      </c>
      <c r="B4">
        <f>'Master Dimensions Sheet'!C11</f>
        <v>2.44</v>
      </c>
      <c r="C4" s="79" t="s">
        <v>38</v>
      </c>
    </row>
    <row r="5">
      <c r="B5">
        <f>B4*2.54</f>
        <v>6.1976</v>
      </c>
      <c r="C5" s="79" t="s">
        <v>80</v>
      </c>
    </row>
    <row r="6">
      <c r="A6" s="80" t="s">
        <v>275</v>
      </c>
      <c r="B6">
        <f>'Master Dimensions Sheet'!C9</f>
        <v>1.26</v>
      </c>
      <c r="C6" s="79" t="s">
        <v>38</v>
      </c>
    </row>
    <row r="7">
      <c r="B7" s="82">
        <f>B6*2.54</f>
        <v>3.2004</v>
      </c>
      <c r="C7" s="79" t="s">
        <v>80</v>
      </c>
    </row>
    <row r="8">
      <c r="A8" s="80" t="s">
        <v>276</v>
      </c>
      <c r="B8">
        <f>'Master Dimensions Sheet'!C12</f>
        <v>0.6</v>
      </c>
      <c r="C8" s="79" t="s">
        <v>38</v>
      </c>
    </row>
    <row r="9">
      <c r="B9">
        <f>B8*2.54</f>
        <v>1.524</v>
      </c>
      <c r="C9" s="79" t="s">
        <v>80</v>
      </c>
    </row>
    <row r="10">
      <c r="A10" s="80" t="s">
        <v>278</v>
      </c>
      <c r="B10" s="79">
        <v>0.6</v>
      </c>
      <c r="C10" s="79" t="s">
        <v>38</v>
      </c>
    </row>
    <row r="11">
      <c r="B11" s="79">
        <f>B10*2.54</f>
        <v>1.524</v>
      </c>
      <c r="C11" s="79" t="s">
        <v>80</v>
      </c>
    </row>
    <row r="12">
      <c r="A12" s="79" t="s">
        <v>279</v>
      </c>
    </row>
    <row r="13">
      <c r="A13" s="79" t="s">
        <v>280</v>
      </c>
      <c r="B13" s="79">
        <v>5641.0</v>
      </c>
    </row>
    <row r="14">
      <c r="A14" s="79" t="s">
        <v>281</v>
      </c>
      <c r="B14" s="79">
        <v>800.0</v>
      </c>
    </row>
    <row r="15">
      <c r="A15" s="84" t="s">
        <v>283</v>
      </c>
      <c r="B15" s="85">
        <f>B8/B4</f>
        <v>0.2459016393</v>
      </c>
    </row>
    <row r="16">
      <c r="A16" s="84" t="s">
        <v>284</v>
      </c>
      <c r="B16" s="85">
        <f>B8/B6</f>
        <v>0.4761904762</v>
      </c>
    </row>
  </sheetData>
  <mergeCells count="4">
    <mergeCell ref="A4:A5"/>
    <mergeCell ref="A8:A9"/>
    <mergeCell ref="A10:A11"/>
    <mergeCell ref="A6:A7"/>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5" max="5" width="17.86"/>
  </cols>
  <sheetData>
    <row r="1">
      <c r="A1" s="86" t="s">
        <v>239</v>
      </c>
      <c r="C1" s="87" t="s">
        <v>3</v>
      </c>
      <c r="E1" s="88" t="s">
        <v>286</v>
      </c>
      <c r="G1" s="89" t="s">
        <v>3</v>
      </c>
    </row>
    <row r="2">
      <c r="A2" s="80" t="s">
        <v>287</v>
      </c>
      <c r="B2" s="90">
        <f>'Master Dimensions Sheet'!C3</f>
        <v>4.0625</v>
      </c>
      <c r="C2" s="79" t="s">
        <v>38</v>
      </c>
      <c r="E2" s="79" t="s">
        <v>288</v>
      </c>
      <c r="G2" s="79" t="s">
        <v>218</v>
      </c>
    </row>
    <row r="3">
      <c r="B3" s="90">
        <f>B2*2.54</f>
        <v>10.31875</v>
      </c>
      <c r="C3" s="79" t="s">
        <v>80</v>
      </c>
    </row>
    <row r="4">
      <c r="A4" s="80" t="s">
        <v>254</v>
      </c>
      <c r="B4" s="90">
        <f>'Master Dimensions Sheet'!C4</f>
        <v>4.1875</v>
      </c>
      <c r="C4" s="79" t="s">
        <v>38</v>
      </c>
    </row>
    <row r="5">
      <c r="B5" s="90">
        <f>B4*2.54</f>
        <v>10.63625</v>
      </c>
      <c r="C5" s="79" t="s">
        <v>80</v>
      </c>
    </row>
    <row r="6">
      <c r="A6" s="79" t="s">
        <v>289</v>
      </c>
      <c r="B6" s="90">
        <f>((B3/2)^2)*pi()*B5</f>
        <v>889.4726511</v>
      </c>
      <c r="C6" s="79" t="s">
        <v>245</v>
      </c>
    </row>
    <row r="7">
      <c r="A7" s="79" t="s">
        <v>290</v>
      </c>
      <c r="B7" s="90">
        <f>B6*2</f>
        <v>1778.945302</v>
      </c>
      <c r="C7" s="79" t="s">
        <v>245</v>
      </c>
    </row>
    <row r="8">
      <c r="A8" s="79" t="s">
        <v>291</v>
      </c>
      <c r="B8" s="79">
        <v>5641.0</v>
      </c>
      <c r="C8" s="79" t="s">
        <v>292</v>
      </c>
    </row>
    <row r="9">
      <c r="A9" s="79" t="s">
        <v>293</v>
      </c>
      <c r="B9" s="90">
        <f>B8/60</f>
        <v>94.01666667</v>
      </c>
      <c r="C9" s="79" t="s">
        <v>294</v>
      </c>
    </row>
    <row r="10">
      <c r="A10" s="80" t="s">
        <v>295</v>
      </c>
      <c r="B10" s="90">
        <f>(B9/2)*B6</f>
        <v>41812.62687</v>
      </c>
      <c r="C10" s="79" t="s">
        <v>296</v>
      </c>
    </row>
    <row r="11">
      <c r="B11" s="91">
        <f>B10*0.000001</f>
        <v>0.04181262687</v>
      </c>
      <c r="C11" s="79" t="s">
        <v>297</v>
      </c>
    </row>
    <row r="12">
      <c r="A12" s="79" t="s">
        <v>298</v>
      </c>
      <c r="B12" s="79">
        <v>1.2</v>
      </c>
      <c r="C12" s="79" t="s">
        <v>241</v>
      </c>
    </row>
    <row r="13">
      <c r="A13" s="79" t="s">
        <v>299</v>
      </c>
      <c r="B13" s="92">
        <f>B11*B12</f>
        <v>0.05017515225</v>
      </c>
      <c r="C13" s="79" t="s">
        <v>300</v>
      </c>
    </row>
    <row r="14">
      <c r="A14" s="80" t="s">
        <v>301</v>
      </c>
      <c r="B14" s="79">
        <v>101.3</v>
      </c>
      <c r="C14" s="79" t="s">
        <v>214</v>
      </c>
    </row>
    <row r="15">
      <c r="B15" s="79">
        <f>B14*1000</f>
        <v>101300</v>
      </c>
      <c r="C15" s="79" t="s">
        <v>134</v>
      </c>
      <c r="D15" s="79" t="s">
        <v>302</v>
      </c>
    </row>
    <row r="17">
      <c r="D17" s="79" t="s">
        <v>303</v>
      </c>
    </row>
    <row r="18">
      <c r="D18" s="79" t="s">
        <v>304</v>
      </c>
    </row>
  </sheetData>
  <mergeCells count="6">
    <mergeCell ref="A1:B1"/>
    <mergeCell ref="A2:A3"/>
    <mergeCell ref="A4:A5"/>
    <mergeCell ref="A14:A15"/>
    <mergeCell ref="E1:F1"/>
    <mergeCell ref="A10:A1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2" max="2" width="18.71"/>
    <col customWidth="1" min="5" max="5" width="22.0"/>
    <col customWidth="1" min="7" max="7" width="24.57"/>
    <col customWidth="1" min="8" max="8" width="16.86"/>
    <col customWidth="1" min="10" max="10" width="13.86"/>
    <col customWidth="1" min="11" max="11" width="22.71"/>
  </cols>
  <sheetData>
    <row r="1">
      <c r="A1" s="93" t="s">
        <v>305</v>
      </c>
      <c r="B1" s="94"/>
      <c r="C1" s="95"/>
      <c r="E1" s="93" t="s">
        <v>307</v>
      </c>
      <c r="F1" s="94"/>
      <c r="G1" s="94"/>
      <c r="H1" s="95"/>
    </row>
    <row r="2">
      <c r="A2" s="97" t="s">
        <v>308</v>
      </c>
      <c r="B2" s="98" t="s">
        <v>97</v>
      </c>
      <c r="C2" s="97" t="s">
        <v>311</v>
      </c>
      <c r="E2" s="97" t="s">
        <v>308</v>
      </c>
      <c r="F2" s="98" t="s">
        <v>97</v>
      </c>
      <c r="G2" s="97" t="s">
        <v>311</v>
      </c>
      <c r="H2" s="97" t="s">
        <v>3</v>
      </c>
    </row>
    <row r="3">
      <c r="A3" s="99" t="s">
        <v>313</v>
      </c>
      <c r="B3" s="100" t="s">
        <v>315</v>
      </c>
      <c r="C3" s="101">
        <f>(C7/8)*((2*C6)-C4-C5+SQRT((((2*C6)-C4-C5)^2)-(0.81*((C4-C5)^2))))</f>
        <v>2.782905956</v>
      </c>
      <c r="E3" s="99" t="s">
        <v>321</v>
      </c>
      <c r="F3" s="100" t="s">
        <v>322</v>
      </c>
      <c r="G3" s="100">
        <v>77.8</v>
      </c>
      <c r="H3" s="101" t="s">
        <v>193</v>
      </c>
    </row>
    <row r="4">
      <c r="A4" s="99" t="s">
        <v>324</v>
      </c>
      <c r="B4" s="102" t="s">
        <v>132</v>
      </c>
      <c r="C4" s="101">
        <v>36.0</v>
      </c>
      <c r="E4" s="99" t="s">
        <v>326</v>
      </c>
      <c r="F4" s="102" t="s">
        <v>327</v>
      </c>
      <c r="G4" s="102">
        <v>0.5095</v>
      </c>
      <c r="H4" s="101" t="s">
        <v>38</v>
      </c>
      <c r="I4">
        <f>G4*25.4</f>
        <v>12.9413</v>
      </c>
      <c r="J4" s="79" t="s">
        <v>329</v>
      </c>
    </row>
    <row r="5">
      <c r="A5" s="99" t="s">
        <v>330</v>
      </c>
      <c r="B5" s="102" t="s">
        <v>331</v>
      </c>
      <c r="C5" s="101">
        <v>18.0</v>
      </c>
      <c r="E5" s="99" t="s">
        <v>332</v>
      </c>
      <c r="F5" s="102" t="s">
        <v>333</v>
      </c>
      <c r="G5" s="102">
        <f>26.6*2*PI()/360</f>
        <v>0.464257581</v>
      </c>
      <c r="H5" s="105"/>
    </row>
    <row r="6">
      <c r="A6" s="99" t="s">
        <v>339</v>
      </c>
      <c r="B6" s="102" t="s">
        <v>340</v>
      </c>
      <c r="C6" s="101">
        <v>50.0</v>
      </c>
      <c r="E6" s="99" t="s">
        <v>341</v>
      </c>
      <c r="F6" s="102" t="s">
        <v>342</v>
      </c>
      <c r="G6" s="102">
        <v>0.591</v>
      </c>
      <c r="H6" s="101" t="s">
        <v>38</v>
      </c>
      <c r="I6">
        <f t="shared" ref="I6:I7" si="1">G6*25.4</f>
        <v>15.0114</v>
      </c>
      <c r="J6" s="79" t="s">
        <v>329</v>
      </c>
    </row>
    <row r="7">
      <c r="A7" s="106" t="s">
        <v>344</v>
      </c>
      <c r="B7" s="107" t="s">
        <v>349</v>
      </c>
      <c r="C7" s="108">
        <v>0.25</v>
      </c>
      <c r="E7" s="99" t="s">
        <v>351</v>
      </c>
      <c r="F7" s="102" t="s">
        <v>335</v>
      </c>
      <c r="G7" s="102">
        <v>0.1</v>
      </c>
      <c r="H7" s="105"/>
      <c r="I7" s="110">
        <f t="shared" si="1"/>
        <v>2.54</v>
      </c>
    </row>
    <row r="8">
      <c r="A8" s="79" t="s">
        <v>353</v>
      </c>
      <c r="C8">
        <f>C3/C7</f>
        <v>11.13162383</v>
      </c>
      <c r="E8" s="99" t="s">
        <v>355</v>
      </c>
      <c r="F8" s="102" t="s">
        <v>356</v>
      </c>
      <c r="G8" s="111">
        <f>G3*(G7+G4)/COS(G5)</f>
        <v>53.03234951</v>
      </c>
      <c r="H8" s="101" t="s">
        <v>359</v>
      </c>
      <c r="I8">
        <f>G8*4.448</f>
        <v>235.8878906</v>
      </c>
      <c r="J8" s="79" t="s">
        <v>132</v>
      </c>
    </row>
    <row r="9">
      <c r="A9" s="79" t="s">
        <v>362</v>
      </c>
      <c r="C9">
        <f>C6*C7</f>
        <v>12.5</v>
      </c>
      <c r="E9" s="99" t="s">
        <v>363</v>
      </c>
      <c r="F9" s="102" t="s">
        <v>340</v>
      </c>
      <c r="G9" s="111">
        <f>(G6+G4)*TAN(G5)</f>
        <v>0.5510893489</v>
      </c>
      <c r="H9" s="101" t="s">
        <v>38</v>
      </c>
      <c r="I9">
        <f>G9*25.4</f>
        <v>13.99766946</v>
      </c>
      <c r="J9" s="79" t="s">
        <v>329</v>
      </c>
    </row>
    <row r="10">
      <c r="B10" s="112" t="s">
        <v>351</v>
      </c>
      <c r="C10" s="37"/>
      <c r="E10" s="99" t="s">
        <v>292</v>
      </c>
      <c r="F10" s="102" t="s">
        <v>292</v>
      </c>
      <c r="G10" s="102">
        <f>5929/2</f>
        <v>2964.5</v>
      </c>
      <c r="H10" s="101" t="s">
        <v>369</v>
      </c>
    </row>
    <row r="11">
      <c r="B11" s="113" t="s">
        <v>370</v>
      </c>
      <c r="C11" s="114">
        <v>1.5</v>
      </c>
      <c r="E11" s="99" t="s">
        <v>376</v>
      </c>
      <c r="F11" s="102" t="s">
        <v>377</v>
      </c>
      <c r="G11" s="111">
        <f>G8*G9</f>
        <v>29.22556296</v>
      </c>
      <c r="H11" s="101" t="s">
        <v>379</v>
      </c>
      <c r="I11">
        <f>G11*0.113</f>
        <v>3.302488614</v>
      </c>
      <c r="J11" s="79" t="s">
        <v>253</v>
      </c>
    </row>
    <row r="12">
      <c r="B12" s="115" t="s">
        <v>380</v>
      </c>
      <c r="C12" s="114">
        <f>(C14+(0.575*C16))/COS(G5)</f>
        <v>58.73147812</v>
      </c>
      <c r="E12" s="99" t="s">
        <v>357</v>
      </c>
      <c r="F12" s="102" t="s">
        <v>349</v>
      </c>
      <c r="G12" s="111">
        <f>(G11*G10)/63025</f>
        <v>1.374679594</v>
      </c>
      <c r="H12" s="101" t="s">
        <v>384</v>
      </c>
    </row>
    <row r="13">
      <c r="B13" s="115" t="s">
        <v>385</v>
      </c>
      <c r="C13" s="114">
        <f>C15+(C17*0.5095)</f>
        <v>47.4191</v>
      </c>
    </row>
    <row r="14">
      <c r="B14" s="115" t="s">
        <v>386</v>
      </c>
      <c r="C14" s="116">
        <f t="shared" ref="C14:C15" si="2">C16*C18</f>
        <v>7.78</v>
      </c>
    </row>
    <row r="15">
      <c r="B15" s="115" t="s">
        <v>387</v>
      </c>
      <c r="C15" s="116">
        <f t="shared" si="2"/>
        <v>7.78</v>
      </c>
    </row>
    <row r="16">
      <c r="B16" s="115" t="s">
        <v>388</v>
      </c>
      <c r="C16" s="114">
        <v>77.8</v>
      </c>
    </row>
    <row r="17">
      <c r="B17" s="115" t="s">
        <v>389</v>
      </c>
      <c r="C17" s="114">
        <v>77.8</v>
      </c>
    </row>
    <row r="18">
      <c r="B18" s="115" t="s">
        <v>390</v>
      </c>
      <c r="C18" s="114">
        <v>0.1</v>
      </c>
    </row>
    <row r="19">
      <c r="B19" s="117" t="s">
        <v>391</v>
      </c>
      <c r="C19" s="118">
        <v>0.1</v>
      </c>
      <c r="E19" s="93" t="s">
        <v>392</v>
      </c>
      <c r="F19" s="94"/>
      <c r="G19" s="94"/>
      <c r="H19" s="95"/>
    </row>
    <row r="20">
      <c r="E20" s="97" t="s">
        <v>308</v>
      </c>
      <c r="F20" s="98" t="s">
        <v>97</v>
      </c>
      <c r="G20" s="97" t="s">
        <v>311</v>
      </c>
      <c r="H20" s="97" t="s">
        <v>3</v>
      </c>
    </row>
    <row r="21">
      <c r="E21" s="99" t="s">
        <v>321</v>
      </c>
      <c r="F21" s="100" t="s">
        <v>322</v>
      </c>
      <c r="G21" s="100">
        <v>77.8</v>
      </c>
      <c r="H21" s="101" t="s">
        <v>193</v>
      </c>
    </row>
    <row r="22">
      <c r="A22" s="79" t="s">
        <v>393</v>
      </c>
      <c r="B22" s="79">
        <f>6.271*0.25</f>
        <v>1.56775</v>
      </c>
      <c r="C22" s="79">
        <v>1.57</v>
      </c>
      <c r="E22" s="99" t="s">
        <v>394</v>
      </c>
      <c r="F22" s="102" t="s">
        <v>395</v>
      </c>
      <c r="G22" s="105">
        <f>G4+G7</f>
        <v>0.6095</v>
      </c>
      <c r="H22" s="101" t="s">
        <v>38</v>
      </c>
    </row>
    <row r="23">
      <c r="A23" s="79" t="s">
        <v>396</v>
      </c>
      <c r="B23" s="79">
        <f>12.03*0.25</f>
        <v>3.0075</v>
      </c>
      <c r="C23" s="79">
        <v>3.01</v>
      </c>
      <c r="E23" s="99" t="s">
        <v>376</v>
      </c>
      <c r="F23" s="102" t="s">
        <v>377</v>
      </c>
      <c r="G23" s="119">
        <f>G3*(G22^2)*TAN(G5)/12</f>
        <v>1.206084514</v>
      </c>
      <c r="H23" s="101" t="s">
        <v>397</v>
      </c>
    </row>
    <row r="24">
      <c r="A24" s="79" t="s">
        <v>398</v>
      </c>
      <c r="B24">
        <f t="shared" ref="B24:C24" si="3">0.5*(B22+B23)</f>
        <v>2.287625</v>
      </c>
      <c r="C24">
        <f t="shared" si="3"/>
        <v>2.29</v>
      </c>
      <c r="E24" s="99" t="s">
        <v>399</v>
      </c>
      <c r="F24" s="102" t="s">
        <v>400</v>
      </c>
      <c r="G24" s="105">
        <f>G23*G10/5252</f>
        <v>0.680776379</v>
      </c>
      <c r="H24" s="101" t="s">
        <v>384</v>
      </c>
    </row>
    <row r="25">
      <c r="B25">
        <f>B24*1.5</f>
        <v>3.4314375</v>
      </c>
      <c r="E25" s="106" t="s">
        <v>401</v>
      </c>
      <c r="F25" s="120"/>
      <c r="G25" s="121">
        <f>G24*1.5</f>
        <v>1.021164568</v>
      </c>
      <c r="H25" s="108" t="s">
        <v>384</v>
      </c>
    </row>
    <row r="28">
      <c r="E28" s="75">
        <f>(2*C3)+((C4+C5)/2)+(((C4-C5)/(2*PI()))^2)*(1/C8)</f>
        <v>33.30308223</v>
      </c>
    </row>
    <row r="29">
      <c r="G29" s="79" t="s">
        <v>402</v>
      </c>
      <c r="H29">
        <f>(G6+0.575)*SIN(G5)</f>
        <v>0.5220870964</v>
      </c>
    </row>
    <row r="30">
      <c r="G30" s="79" t="s">
        <v>403</v>
      </c>
      <c r="H30">
        <f>H29*C12</f>
        <v>30.66294688</v>
      </c>
    </row>
    <row r="31">
      <c r="B31" s="93" t="s">
        <v>404</v>
      </c>
      <c r="C31" s="94"/>
      <c r="D31" s="94"/>
      <c r="E31" s="95"/>
      <c r="H31">
        <f>H30/12</f>
        <v>2.555245573</v>
      </c>
    </row>
    <row r="32">
      <c r="B32" s="97" t="s">
        <v>308</v>
      </c>
      <c r="C32" s="97" t="s">
        <v>97</v>
      </c>
      <c r="D32" s="97" t="s">
        <v>311</v>
      </c>
      <c r="E32" s="97" t="s">
        <v>3</v>
      </c>
      <c r="G32" s="79" t="s">
        <v>384</v>
      </c>
      <c r="H32">
        <f>H31*G10/5252</f>
        <v>1.442312548</v>
      </c>
      <c r="I32">
        <f>H32*1.5</f>
        <v>2.163468822</v>
      </c>
    </row>
    <row r="33">
      <c r="B33" s="122" t="s">
        <v>405</v>
      </c>
      <c r="C33" s="100" t="s">
        <v>335</v>
      </c>
      <c r="D33" s="100">
        <v>0.25</v>
      </c>
      <c r="E33" s="123" t="s">
        <v>38</v>
      </c>
      <c r="G33" s="79" t="s">
        <v>406</v>
      </c>
      <c r="H33">
        <f>33000*I32/D36</f>
        <v>32.1108545</v>
      </c>
    </row>
    <row r="34">
      <c r="B34" s="99" t="s">
        <v>407</v>
      </c>
      <c r="C34" s="102" t="s">
        <v>132</v>
      </c>
      <c r="D34" s="102">
        <f>5929</f>
        <v>5929</v>
      </c>
      <c r="E34" s="101" t="s">
        <v>292</v>
      </c>
    </row>
    <row r="35">
      <c r="B35" s="99" t="s">
        <v>408</v>
      </c>
      <c r="C35" s="102" t="s">
        <v>377</v>
      </c>
      <c r="D35" s="102">
        <v>18.0</v>
      </c>
      <c r="E35" s="101" t="s">
        <v>409</v>
      </c>
    </row>
    <row r="36">
      <c r="B36" s="99" t="s">
        <v>410</v>
      </c>
      <c r="C36" s="102" t="s">
        <v>104</v>
      </c>
      <c r="D36" s="111">
        <f>D33*D35*D34/12</f>
        <v>2223.375</v>
      </c>
      <c r="E36" s="101" t="s">
        <v>411</v>
      </c>
    </row>
    <row r="37">
      <c r="B37" s="99" t="s">
        <v>376</v>
      </c>
      <c r="C37" s="99" t="s">
        <v>412</v>
      </c>
      <c r="D37" s="111">
        <f>G23*12</f>
        <v>14.47301417</v>
      </c>
      <c r="E37" s="101" t="s">
        <v>413</v>
      </c>
    </row>
    <row r="38">
      <c r="B38" s="99" t="s">
        <v>414</v>
      </c>
      <c r="C38" s="102" t="s">
        <v>400</v>
      </c>
      <c r="D38" s="119">
        <f>D34*D37*1.5/(5252*12)</f>
        <v>2.042329137</v>
      </c>
      <c r="E38" s="101" t="s">
        <v>384</v>
      </c>
    </row>
    <row r="39">
      <c r="B39" s="106" t="s">
        <v>415</v>
      </c>
      <c r="C39" s="107" t="s">
        <v>416</v>
      </c>
      <c r="D39" s="121">
        <f>D38*396000/(D33*D34*D35)</f>
        <v>30.31286289</v>
      </c>
      <c r="E39" s="108" t="s">
        <v>181</v>
      </c>
      <c r="G39" s="79" t="s">
        <v>417</v>
      </c>
    </row>
    <row r="40">
      <c r="G40" s="79" t="s">
        <v>418</v>
      </c>
      <c r="I40">
        <f>134*(1/8)</f>
        <v>16.75</v>
      </c>
    </row>
  </sheetData>
  <mergeCells count="5">
    <mergeCell ref="A1:C1"/>
    <mergeCell ref="E1:H1"/>
    <mergeCell ref="B10:C10"/>
    <mergeCell ref="B31:E31"/>
    <mergeCell ref="E19:H1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s>
  <sheetData>
    <row r="1">
      <c r="A1" s="79"/>
      <c r="B1" s="79"/>
      <c r="C1" s="79"/>
      <c r="D1" s="79"/>
      <c r="F1" s="79"/>
      <c r="G1" s="82"/>
      <c r="H1" s="79"/>
    </row>
    <row r="2">
      <c r="A2" s="79"/>
      <c r="B2" s="79" t="s">
        <v>306</v>
      </c>
      <c r="C2" s="96">
        <f>E20</f>
        <v>1331.862929</v>
      </c>
      <c r="D2" s="79" t="s">
        <v>309</v>
      </c>
      <c r="F2" s="79" t="s">
        <v>310</v>
      </c>
      <c r="G2" s="82">
        <f>C7*C12</f>
        <v>2.513274123</v>
      </c>
      <c r="H2" s="79" t="s">
        <v>252</v>
      </c>
      <c r="K2" s="79" t="s">
        <v>312</v>
      </c>
      <c r="L2" s="79">
        <v>1.8</v>
      </c>
      <c r="M2" s="79" t="s">
        <v>38</v>
      </c>
    </row>
    <row r="3">
      <c r="A3" s="79"/>
      <c r="B3" s="79" t="s">
        <v>314</v>
      </c>
      <c r="C3" s="96">
        <f>H17</f>
        <v>209.1117742</v>
      </c>
      <c r="D3" s="79" t="s">
        <v>309</v>
      </c>
      <c r="F3" s="79" t="s">
        <v>316</v>
      </c>
      <c r="G3" s="82">
        <f>C7-(G2/2)</f>
        <v>82.51916703</v>
      </c>
      <c r="H3" s="79" t="s">
        <v>252</v>
      </c>
      <c r="K3" s="79" t="s">
        <v>317</v>
      </c>
      <c r="L3" s="79">
        <v>1.0</v>
      </c>
      <c r="M3" s="79" t="s">
        <v>38</v>
      </c>
    </row>
    <row r="4">
      <c r="A4" s="79"/>
      <c r="B4" s="80" t="s">
        <v>318</v>
      </c>
      <c r="C4" s="96">
        <f>C2-C3</f>
        <v>1122.751155</v>
      </c>
      <c r="D4" s="79" t="s">
        <v>309</v>
      </c>
      <c r="F4" s="79" t="s">
        <v>319</v>
      </c>
      <c r="G4" s="82">
        <f>C7+(G2/2)</f>
        <v>85.03244116</v>
      </c>
      <c r="H4" s="79" t="s">
        <v>252</v>
      </c>
      <c r="K4" s="79" t="s">
        <v>320</v>
      </c>
      <c r="L4" s="79">
        <v>6.5</v>
      </c>
      <c r="M4" s="79" t="s">
        <v>38</v>
      </c>
    </row>
    <row r="5">
      <c r="A5" s="79"/>
      <c r="C5" s="96">
        <f>C4*0.024</f>
        <v>26.94602772</v>
      </c>
      <c r="D5" s="79" t="s">
        <v>323</v>
      </c>
      <c r="F5" s="79"/>
      <c r="H5" s="79"/>
      <c r="K5" s="79" t="s">
        <v>268</v>
      </c>
      <c r="L5" s="79">
        <v>36.0</v>
      </c>
      <c r="M5" s="79" t="s">
        <v>181</v>
      </c>
    </row>
    <row r="6">
      <c r="A6" s="80"/>
      <c r="B6" s="80" t="s">
        <v>325</v>
      </c>
      <c r="C6" s="79">
        <v>800.0</v>
      </c>
      <c r="D6" s="79" t="s">
        <v>250</v>
      </c>
      <c r="K6" s="79" t="s">
        <v>240</v>
      </c>
      <c r="L6" s="79">
        <v>7750.0</v>
      </c>
      <c r="M6" s="79" t="s">
        <v>181</v>
      </c>
    </row>
    <row r="7">
      <c r="A7" s="80"/>
      <c r="C7" s="96">
        <f>C6*((2*pi())/60)</f>
        <v>83.7758041</v>
      </c>
      <c r="D7" s="79" t="s">
        <v>252</v>
      </c>
      <c r="F7" s="103" t="s">
        <v>328</v>
      </c>
      <c r="G7" s="104">
        <f>C5/(0.03*C7^2)</f>
        <v>0.1279782855</v>
      </c>
      <c r="H7" s="79" t="s">
        <v>261</v>
      </c>
    </row>
    <row r="8">
      <c r="A8" s="79"/>
      <c r="B8" s="79" t="s">
        <v>334</v>
      </c>
      <c r="C8" s="79">
        <v>0.5</v>
      </c>
      <c r="D8" s="79" t="s">
        <v>218</v>
      </c>
    </row>
    <row r="9">
      <c r="A9" s="79"/>
      <c r="B9" s="79" t="s">
        <v>335</v>
      </c>
      <c r="C9" s="79">
        <v>1.167</v>
      </c>
      <c r="D9" s="79" t="s">
        <v>241</v>
      </c>
    </row>
    <row r="10">
      <c r="A10" s="80"/>
      <c r="B10" s="80" t="s">
        <v>336</v>
      </c>
      <c r="C10" s="79">
        <v>100.0</v>
      </c>
      <c r="D10" s="79" t="s">
        <v>337</v>
      </c>
    </row>
    <row r="11">
      <c r="A11" s="80"/>
      <c r="C11" s="82">
        <f>C10*0.277778</f>
        <v>27.7778</v>
      </c>
      <c r="D11" s="79" t="s">
        <v>338</v>
      </c>
      <c r="K11">
        <f>(2*C4)/C7^2</f>
        <v>0.3199457137</v>
      </c>
    </row>
    <row r="12">
      <c r="A12" s="79"/>
      <c r="B12" s="79" t="s">
        <v>343</v>
      </c>
      <c r="C12" s="79">
        <v>0.03</v>
      </c>
    </row>
    <row r="16">
      <c r="H16" s="82">
        <f>E20-E18-E19-E21</f>
        <v>1827.278762</v>
      </c>
    </row>
    <row r="17">
      <c r="A17" s="79"/>
      <c r="B17" s="79" t="s">
        <v>254</v>
      </c>
      <c r="C17" s="79" t="s">
        <v>345</v>
      </c>
      <c r="D17" s="79" t="s">
        <v>346</v>
      </c>
      <c r="E17" s="79" t="s">
        <v>347</v>
      </c>
      <c r="G17" s="79" t="s">
        <v>348</v>
      </c>
      <c r="H17">
        <f>(E20+E18+E19+E21)/4</f>
        <v>209.1117742</v>
      </c>
    </row>
    <row r="18">
      <c r="A18" s="79"/>
      <c r="B18" s="79" t="s">
        <v>350</v>
      </c>
      <c r="C18" s="79">
        <v>101.3</v>
      </c>
      <c r="D18" s="109">
        <f t="shared" ref="D18:D21" si="1">$C$30</f>
        <v>0.1672942271</v>
      </c>
      <c r="E18" s="82">
        <f t="shared" ref="E18:E19" si="2">-C18*D18</f>
        <v>-16.94690521</v>
      </c>
      <c r="G18" s="79" t="s">
        <v>352</v>
      </c>
      <c r="H18" s="82">
        <f>E20-H17</f>
        <v>1122.751155</v>
      </c>
    </row>
    <row r="19">
      <c r="A19" s="79"/>
      <c r="B19" s="79" t="s">
        <v>354</v>
      </c>
      <c r="C19" s="79">
        <v>2542.9</v>
      </c>
      <c r="D19" s="109">
        <f t="shared" si="1"/>
        <v>0.1672942271</v>
      </c>
      <c r="E19" s="82">
        <f t="shared" si="2"/>
        <v>-425.4124902</v>
      </c>
    </row>
    <row r="20">
      <c r="A20" s="79"/>
      <c r="B20" s="79" t="s">
        <v>357</v>
      </c>
      <c r="C20" s="17">
        <v>7961.200766666668</v>
      </c>
      <c r="D20" s="109">
        <f t="shared" si="1"/>
        <v>0.1672942271</v>
      </c>
      <c r="E20" s="82">
        <f>C20*D20</f>
        <v>1331.862929</v>
      </c>
    </row>
    <row r="21">
      <c r="A21" s="79"/>
      <c r="B21" s="79" t="s">
        <v>205</v>
      </c>
      <c r="C21" s="17">
        <v>317.1444587652881</v>
      </c>
      <c r="D21" s="109">
        <f t="shared" si="1"/>
        <v>0.1672942271</v>
      </c>
      <c r="E21" s="82">
        <f>-C21*D21</f>
        <v>-53.05643712</v>
      </c>
    </row>
    <row r="22">
      <c r="G22" s="79" t="s">
        <v>358</v>
      </c>
      <c r="H22" s="82">
        <f>H23/(C28/100)</f>
        <v>5307.73564</v>
      </c>
      <c r="I22" s="79" t="s">
        <v>132</v>
      </c>
    </row>
    <row r="23">
      <c r="A23" s="79"/>
      <c r="B23" s="79" t="s">
        <v>360</v>
      </c>
      <c r="C23" s="79">
        <v>101.3</v>
      </c>
      <c r="D23" s="79" t="s">
        <v>214</v>
      </c>
      <c r="G23" s="80" t="s">
        <v>361</v>
      </c>
      <c r="H23" s="96">
        <f>0.2*H32</f>
        <v>564.544032</v>
      </c>
      <c r="I23" s="79" t="s">
        <v>323</v>
      </c>
    </row>
    <row r="24">
      <c r="A24" s="80"/>
      <c r="B24" s="80" t="s">
        <v>287</v>
      </c>
      <c r="C24" s="79">
        <v>4.063</v>
      </c>
      <c r="D24" s="79" t="s">
        <v>38</v>
      </c>
      <c r="H24" s="82">
        <f>H23/C31</f>
        <v>23522.668</v>
      </c>
      <c r="I24" s="79" t="s">
        <v>309</v>
      </c>
    </row>
    <row r="25">
      <c r="A25" s="80"/>
      <c r="C25" s="96">
        <f>C24*2.54</f>
        <v>10.32002</v>
      </c>
      <c r="D25" s="79" t="s">
        <v>80</v>
      </c>
      <c r="G25" s="79" t="s">
        <v>364</v>
      </c>
      <c r="H25" s="82">
        <f>H26*H27</f>
        <v>3222.32016</v>
      </c>
      <c r="I25" s="79" t="s">
        <v>181</v>
      </c>
    </row>
    <row r="26">
      <c r="A26" s="80"/>
      <c r="C26" s="96">
        <f>C25/100</f>
        <v>0.1032002</v>
      </c>
      <c r="D26" s="79" t="s">
        <v>216</v>
      </c>
      <c r="G26" s="79" t="s">
        <v>365</v>
      </c>
      <c r="H26" s="79">
        <v>1.6E-4</v>
      </c>
      <c r="I26" s="79" t="s">
        <v>366</v>
      </c>
    </row>
    <row r="27">
      <c r="A27" s="80"/>
      <c r="B27" s="80" t="s">
        <v>254</v>
      </c>
      <c r="C27" s="79">
        <v>4.1875</v>
      </c>
      <c r="D27" s="79" t="s">
        <v>38</v>
      </c>
      <c r="G27" s="79" t="s">
        <v>367</v>
      </c>
      <c r="H27" s="79">
        <v>2.0139501E7</v>
      </c>
      <c r="I27" s="79" t="s">
        <v>368</v>
      </c>
    </row>
    <row r="28">
      <c r="A28" s="80"/>
      <c r="C28" s="96">
        <f>C27*2.54</f>
        <v>10.63625</v>
      </c>
      <c r="D28" s="79" t="s">
        <v>80</v>
      </c>
      <c r="G28" s="79" t="s">
        <v>371</v>
      </c>
      <c r="H28" s="79">
        <v>33.3</v>
      </c>
    </row>
    <row r="29">
      <c r="A29" s="79"/>
      <c r="B29" s="79" t="s">
        <v>372</v>
      </c>
      <c r="C29" s="79">
        <v>20.0</v>
      </c>
      <c r="D29" s="79" t="s">
        <v>338</v>
      </c>
      <c r="G29" s="79" t="s">
        <v>373</v>
      </c>
      <c r="H29" s="79">
        <v>0.012</v>
      </c>
      <c r="I29" s="79" t="s">
        <v>374</v>
      </c>
    </row>
    <row r="30">
      <c r="A30" s="79"/>
      <c r="B30" s="79" t="s">
        <v>375</v>
      </c>
      <c r="C30" s="109">
        <f>pi()*(C26/2)^2*C29</f>
        <v>0.1672942271</v>
      </c>
      <c r="D30" s="79" t="s">
        <v>297</v>
      </c>
      <c r="G30" s="80" t="s">
        <v>378</v>
      </c>
      <c r="H30">
        <f>H28*H29</f>
        <v>0.3996</v>
      </c>
      <c r="I30" s="79" t="s">
        <v>323</v>
      </c>
    </row>
    <row r="31">
      <c r="B31" s="79" t="s">
        <v>381</v>
      </c>
      <c r="C31" s="79">
        <v>0.024</v>
      </c>
      <c r="D31" s="79" t="s">
        <v>382</v>
      </c>
      <c r="H31">
        <f>H30*1000</f>
        <v>399.6</v>
      </c>
      <c r="I31" s="79" t="s">
        <v>323</v>
      </c>
    </row>
    <row r="32">
      <c r="G32" s="79" t="s">
        <v>383</v>
      </c>
      <c r="H32" s="82">
        <f>H25-H31</f>
        <v>2822.72016</v>
      </c>
    </row>
  </sheetData>
  <mergeCells count="7">
    <mergeCell ref="B10:B11"/>
    <mergeCell ref="B6:B7"/>
    <mergeCell ref="B27:B28"/>
    <mergeCell ref="B24:B26"/>
    <mergeCell ref="B4:B5"/>
    <mergeCell ref="G30:G31"/>
    <mergeCell ref="G23:G24"/>
  </mergeCells>
  <drawing r:id="rId1"/>
</worksheet>
</file>