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filterPrivacy="1"/>
  <xr:revisionPtr revIDLastSave="0" documentId="8_{A2E91CF9-2A89-964D-97E5-BB2E3027F13A}" xr6:coauthVersionLast="45" xr6:coauthVersionMax="45" xr10:uidLastSave="{00000000-0000-0000-0000-000000000000}"/>
  <bookViews>
    <workbookView xWindow="0" yWindow="0" windowWidth="28800" windowHeight="18000" tabRatio="855" activeTab="4" xr2:uid="{00000000-000D-0000-FFFF-FFFF00000000}"/>
  </bookViews>
  <sheets>
    <sheet name="Instructions --&gt;" sheetId="2" r:id="rId1"/>
    <sheet name="Questions --&gt;" sheetId="3" r:id="rId2"/>
    <sheet name="Case 1--&gt;" sheetId="5" r:id="rId3"/>
    <sheet name="Case - Answers" sheetId="6" r:id="rId4"/>
    <sheet name="Case - Solving&amp;Explanation" sheetId="7" r:id="rId5"/>
    <sheet name="Answers" sheetId="8" state="hidden" r:id="rId6"/>
  </sheet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95" i="7" l="1"/>
  <c r="E94" i="7"/>
  <c r="C58" i="7"/>
  <c r="B44" i="7"/>
  <c r="B254" i="7"/>
  <c r="C168" i="7"/>
  <c r="O16" i="6" s="1"/>
  <c r="O10" i="6"/>
  <c r="O13" i="6" s="1"/>
  <c r="C159" i="7"/>
  <c r="C158" i="7"/>
  <c r="C157" i="7"/>
  <c r="K11" i="6"/>
  <c r="B147" i="7"/>
  <c r="K7" i="6" s="1"/>
  <c r="B143" i="7"/>
  <c r="H12" i="6" s="1"/>
  <c r="B131" i="7"/>
  <c r="H7" i="6" s="1"/>
  <c r="E96" i="7"/>
  <c r="F80" i="7"/>
  <c r="G80" i="7" s="1"/>
  <c r="C81" i="7"/>
  <c r="B137" i="7" s="1"/>
  <c r="G77" i="7"/>
  <c r="G78" i="7"/>
  <c r="G79" i="7"/>
  <c r="G76" i="7"/>
  <c r="C57" i="7"/>
  <c r="B42" i="7"/>
  <c r="D37" i="7"/>
  <c r="E37" i="7" s="1"/>
  <c r="D36" i="7"/>
  <c r="E36" i="7" s="1"/>
  <c r="D35" i="7"/>
  <c r="E35" i="7" s="1"/>
  <c r="C13" i="7"/>
  <c r="G10" i="7"/>
  <c r="G11" i="7"/>
  <c r="G9" i="7"/>
  <c r="G110" i="3"/>
  <c r="D112" i="3"/>
  <c r="D110" i="3"/>
  <c r="C138" i="3"/>
  <c r="L17" i="3"/>
  <c r="E129" i="3"/>
  <c r="E128" i="3"/>
  <c r="E130" i="3" s="1"/>
  <c r="C126" i="3" s="1"/>
  <c r="L20" i="3" s="1"/>
  <c r="E119" i="3"/>
  <c r="C116" i="3" s="1"/>
  <c r="L19" i="3" s="1"/>
  <c r="D109" i="3"/>
  <c r="F99" i="3"/>
  <c r="C91" i="3"/>
  <c r="C90" i="3"/>
  <c r="C92" i="3" s="1"/>
  <c r="C88" i="3" s="1"/>
  <c r="L16" i="3" s="1"/>
  <c r="C89" i="3"/>
  <c r="F82" i="3"/>
  <c r="F83" i="3" s="1"/>
  <c r="C79" i="3" s="1"/>
  <c r="L15" i="3" s="1"/>
  <c r="F81" i="3"/>
  <c r="F73" i="3"/>
  <c r="C70" i="3" s="1"/>
  <c r="L14" i="3" s="1"/>
  <c r="E56" i="3"/>
  <c r="E61" i="3" s="1"/>
  <c r="E63" i="3" s="1"/>
  <c r="C60" i="3" s="1"/>
  <c r="L13" i="3" s="1"/>
  <c r="E47" i="3"/>
  <c r="C42" i="3" s="1"/>
  <c r="L11" i="3" s="1"/>
  <c r="D36" i="3"/>
  <c r="D35" i="3"/>
  <c r="D37" i="3" s="1"/>
  <c r="F27" i="3"/>
  <c r="F28" i="3" s="1"/>
  <c r="C24" i="3" s="1"/>
  <c r="L9" i="3" s="1"/>
  <c r="C17" i="3"/>
  <c r="C16" i="3"/>
  <c r="C18" i="3" s="1"/>
  <c r="C15" i="3" s="1"/>
  <c r="L8" i="3" s="1"/>
  <c r="C10" i="3"/>
  <c r="C11" i="3" s="1"/>
  <c r="C6" i="3" s="1"/>
  <c r="L7" i="3" s="1"/>
  <c r="E97" i="7" l="1"/>
  <c r="B100" i="7" s="1"/>
  <c r="B162" i="7"/>
  <c r="H10" i="6"/>
  <c r="B135" i="7"/>
  <c r="G13" i="7"/>
  <c r="G81" i="7"/>
  <c r="B72" i="7" s="1"/>
  <c r="E2" i="6"/>
  <c r="E38" i="7"/>
  <c r="B40" i="7" s="1"/>
  <c r="C107" i="3"/>
  <c r="L18" i="3" s="1"/>
  <c r="C140" i="3"/>
  <c r="C135" i="3" s="1"/>
  <c r="L21" i="3" s="1"/>
  <c r="I56" i="3"/>
  <c r="C51" i="3" s="1"/>
  <c r="L12" i="3" s="1"/>
  <c r="D38" i="3"/>
  <c r="G36" i="3" s="1"/>
  <c r="B46" i="7" l="1"/>
  <c r="A129" i="7"/>
  <c r="B127" i="7" s="1"/>
  <c r="B125" i="7"/>
  <c r="B126" i="7" s="1"/>
  <c r="B123" i="7" s="1"/>
  <c r="B4" i="7"/>
  <c r="B120" i="7"/>
  <c r="D157" i="7" s="1"/>
  <c r="E157" i="7" s="1"/>
  <c r="E9" i="6"/>
  <c r="B89" i="7"/>
  <c r="B84" i="7"/>
  <c r="E7" i="6" s="1"/>
  <c r="O5" i="6" s="1"/>
  <c r="A141" i="7"/>
  <c r="C61" i="7"/>
  <c r="C33" i="3"/>
  <c r="L10" i="3"/>
  <c r="H5" i="6" l="1"/>
  <c r="B197" i="7" s="1"/>
  <c r="B193" i="7" s="1"/>
  <c r="H6" i="6"/>
  <c r="D159" i="7"/>
  <c r="E159" i="7" s="1"/>
  <c r="K4" i="6"/>
  <c r="K6" i="6" s="1"/>
  <c r="D158" i="7"/>
  <c r="E158" i="7" s="1"/>
  <c r="B50" i="7"/>
  <c r="B48" i="7" s="1"/>
  <c r="B18" i="7"/>
  <c r="B140" i="7"/>
  <c r="H11" i="6" s="1"/>
  <c r="E3" i="6"/>
  <c r="B199" i="7" l="1"/>
  <c r="S10" i="6" s="1"/>
  <c r="S9" i="6"/>
  <c r="E160" i="7"/>
  <c r="B154" i="7" s="1"/>
  <c r="O6" i="6" s="1"/>
  <c r="H8" i="6"/>
  <c r="H14" i="6" s="1"/>
  <c r="B191" i="7" s="1"/>
  <c r="B188" i="7" s="1"/>
  <c r="S8" i="6" s="1"/>
  <c r="B208" i="7"/>
  <c r="B205" i="7" s="1"/>
  <c r="K8" i="6"/>
  <c r="B183" i="7"/>
  <c r="S6" i="6" s="1"/>
  <c r="E4" i="6"/>
  <c r="B225" i="7" s="1"/>
  <c r="S16" i="6" s="1"/>
  <c r="C56" i="7"/>
  <c r="B65" i="7" s="1"/>
  <c r="B53" i="7" s="1"/>
  <c r="B211" i="7" l="1"/>
  <c r="S12" i="6" s="1"/>
  <c r="S11" i="6"/>
  <c r="B178" i="7"/>
  <c r="S5" i="6" s="1"/>
  <c r="B231" i="7"/>
  <c r="S20" i="6" s="1"/>
  <c r="B173" i="7"/>
  <c r="S4" i="6" s="1"/>
  <c r="B67" i="7"/>
  <c r="E5" i="6"/>
  <c r="B69" i="7"/>
  <c r="B86" i="7" s="1"/>
  <c r="E6" i="6" l="1"/>
  <c r="B220" i="7" s="1"/>
  <c r="S15" i="6" s="1"/>
  <c r="B102" i="7"/>
  <c r="E8" i="6"/>
  <c r="B242" i="7" s="1"/>
  <c r="S22" i="6" s="1"/>
  <c r="B105" i="7" l="1"/>
  <c r="E11" i="6" s="1"/>
  <c r="E10" i="6"/>
  <c r="B108" i="7" l="1"/>
  <c r="E12" i="6" l="1"/>
  <c r="B252" i="7" s="1"/>
  <c r="S18" i="6" s="1"/>
  <c r="A113" i="7"/>
  <c r="E13" i="6" s="1"/>
  <c r="O17" i="6" s="1"/>
  <c r="O18" i="6" s="1"/>
  <c r="O4" i="6" l="1"/>
  <c r="O7" i="6" s="1"/>
  <c r="A38" i="8" s="1"/>
  <c r="B248" i="7"/>
  <c r="S17" i="6" s="1"/>
  <c r="A59" i="8" s="1"/>
  <c r="B216" i="7"/>
  <c r="S14" i="6" s="1"/>
  <c r="A56" i="8" s="1"/>
  <c r="B115" i="7"/>
  <c r="E14" i="6" s="1"/>
  <c r="K12" i="6" s="1"/>
  <c r="K13" i="6" s="1"/>
  <c r="B235" i="7" s="1"/>
  <c r="A61" i="8"/>
  <c r="A63" i="8"/>
  <c r="A57" i="8"/>
  <c r="A58" i="8"/>
  <c r="A60" i="8"/>
  <c r="A51" i="8"/>
  <c r="A52" i="8"/>
  <c r="A53" i="8"/>
  <c r="A54" i="8"/>
  <c r="A55" i="8"/>
  <c r="A48" i="8"/>
  <c r="A49" i="8"/>
  <c r="A50" i="8"/>
  <c r="A43" i="8"/>
  <c r="A44" i="8"/>
  <c r="A45" i="8"/>
  <c r="A39" i="8"/>
  <c r="A40" i="8"/>
  <c r="A41" i="8"/>
  <c r="A42" i="8"/>
  <c r="A36" i="8"/>
  <c r="A37" i="8"/>
  <c r="A30" i="8"/>
  <c r="A25" i="8"/>
  <c r="A26" i="8"/>
  <c r="A27" i="8"/>
  <c r="A28" i="8"/>
  <c r="A29" i="8"/>
  <c r="A24" i="8"/>
  <c r="A21" i="8"/>
  <c r="A22" i="8"/>
  <c r="A23" i="8"/>
  <c r="A16" i="8"/>
  <c r="A17" i="8"/>
  <c r="A18" i="8"/>
  <c r="A19" i="8"/>
  <c r="A20" i="8"/>
  <c r="A2" i="8"/>
  <c r="A3" i="8"/>
  <c r="A4" i="8"/>
  <c r="A5" i="8"/>
  <c r="A6" i="8"/>
  <c r="A7" i="8"/>
  <c r="A8" i="8"/>
  <c r="A9" i="8"/>
  <c r="A10" i="8"/>
  <c r="A11" i="8"/>
  <c r="A12" i="8"/>
  <c r="A13" i="8"/>
  <c r="K14" i="6" l="1"/>
  <c r="A33" i="8" s="1"/>
  <c r="S21" i="6"/>
  <c r="A62" i="8" s="1"/>
  <c r="O20" i="6"/>
  <c r="A46" i="8" s="1"/>
  <c r="A35" i="8"/>
  <c r="A14" i="8"/>
  <c r="A32" i="8"/>
  <c r="A31" i="8"/>
  <c r="C69" i="5"/>
  <c r="F77" i="5"/>
  <c r="D6" i="2" l="1"/>
  <c r="F78" i="5" l="1"/>
  <c r="C76" i="5"/>
  <c r="C72" i="5"/>
  <c r="C73" i="5" s="1"/>
  <c r="F71" i="5"/>
  <c r="F73" i="5" s="1"/>
  <c r="C54" i="5"/>
  <c r="C79" i="5" l="1"/>
  <c r="F79" i="5"/>
</calcChain>
</file>

<file path=xl/sharedStrings.xml><?xml version="1.0" encoding="utf-8"?>
<sst xmlns="http://schemas.openxmlformats.org/spreadsheetml/2006/main" count="523" uniqueCount="347">
  <si>
    <t>Кінцева оцінка складається з:</t>
  </si>
  <si>
    <t xml:space="preserve">Робота в класі: </t>
  </si>
  <si>
    <t>Питання:</t>
  </si>
  <si>
    <t>Разом</t>
  </si>
  <si>
    <t>Питання</t>
  </si>
  <si>
    <t>Питання 1</t>
  </si>
  <si>
    <t>Рішення</t>
  </si>
  <si>
    <t>Питання 2</t>
  </si>
  <si>
    <t>Питання 3</t>
  </si>
  <si>
    <t>Грошовий потік від операцій становив 117000 грн, компанія закупила обладнання на 80000 грн, при цьому позичила 60000 грн в банку та виплатила дивідендів на суму 30000 грн. Який чистий грошовий потік доступний фірмі?</t>
  </si>
  <si>
    <t>Питання 4</t>
  </si>
  <si>
    <t>Валовий прибуток компанії становив 2000000 грн у цьому році. Компанія заплатила адміністративному персоналу заробітну плату на суму 500000 за рік. Оренда приміщення коштувала 15000 грн в місяць. Компанія мала довгостроковий борг на суму 1000000 грн  під 10% річних. Податок становив 40%. Який чистий прибуток компанії?</t>
  </si>
  <si>
    <t>Питання 5</t>
  </si>
  <si>
    <t>Питання 6</t>
  </si>
  <si>
    <t>Базуючись на інформації в питанні 5. Який робочий капітал компанії?</t>
  </si>
  <si>
    <t>Питання 7</t>
  </si>
  <si>
    <t>Базуючись на інформації в питанні 5. Які зобов’язання компанії?</t>
  </si>
  <si>
    <t>Питання 8</t>
  </si>
  <si>
    <t>Питання 9</t>
  </si>
  <si>
    <t>На початок року накопичений нерозподілений прибуток компанії становив 1550000. Компанія закінчила рік з чистим прибутком у розмірі 200000 грн. Компанія платить 40% дивідендів. Який розмір накопиченого нерозподіленого прибутку станом на кінець року?</t>
  </si>
  <si>
    <t>Питання 10</t>
  </si>
  <si>
    <t>Питання 11</t>
  </si>
  <si>
    <t xml:space="preserve">Компанія закупила наступне обладнання
                Початкова вартість   Зношення до кінця періоду   Корисний період
Станок        1 100000                             60%                                                   5 років
Станок        2 500000                             90%                                                   3 роки
Станок        3 350000                             50%                                                   2 роки
Яка вартість річних амортизаційних витрат?
</t>
  </si>
  <si>
    <t>Питання 12</t>
  </si>
  <si>
    <t>Чистий прибуток компанії становив 410000 грн на кінець року. Компанія не платила жодних дивідендів. Який нерозподілений прибуток компанії по цьому році?</t>
  </si>
  <si>
    <t>Питання 13</t>
  </si>
  <si>
    <t>Питання 14</t>
  </si>
  <si>
    <t>EBITDA компанії склав 500000 грн. Вартість обладнання компанії становило 1000000 і воно амортизується протягом 10 років до 0. В компанії було довгострокове зобов’язання на суму 1000000 грн терміном на 5 років під 5% річних. Зміни в робочому капіталі компанії становили 250000 грн. Який чистий грошовий потік від операцій компанії?</t>
  </si>
  <si>
    <t>Питання 15</t>
  </si>
  <si>
    <t>Короткострокові зобов’язання компанії становили 1200000 грн. Довгострокових зобов’язань не було, а розмір всього власного капіталу становив 2000000 грн. Який розмір активів компанії?</t>
  </si>
  <si>
    <t>Питання 16</t>
  </si>
  <si>
    <t>Питання 17</t>
  </si>
  <si>
    <t>Користуючись інформацією з питання 17 – яка вартість нефізичних активів компанії, якщо короткострокові активи склали 300000, а вартість всіх активів була 2000000.</t>
  </si>
  <si>
    <t>Чому, на вашу думку, чим довший термін погашення кредиту (або облігації), тим більшим буде процент по ньому?</t>
  </si>
  <si>
    <t>Протягом модуля, що вам далося найлегше, а що, найтяжче?</t>
  </si>
  <si>
    <t>Liquidity ratios</t>
  </si>
  <si>
    <t>Current Ratio</t>
  </si>
  <si>
    <t>Quick Ratio</t>
  </si>
  <si>
    <t>Cash Ratio</t>
  </si>
  <si>
    <t>Activity ratios</t>
  </si>
  <si>
    <t>Total assets turnover</t>
  </si>
  <si>
    <t>Receivables Turnover</t>
  </si>
  <si>
    <t>Average collection period</t>
  </si>
  <si>
    <t>Inventory Turnover</t>
  </si>
  <si>
    <t>Days in inventory</t>
  </si>
  <si>
    <t>Profitability ratios</t>
  </si>
  <si>
    <t>Net profit margin</t>
  </si>
  <si>
    <t>EBITDA margin</t>
  </si>
  <si>
    <t>Gross profit margin</t>
  </si>
  <si>
    <t>ROA</t>
  </si>
  <si>
    <t>ROE</t>
  </si>
  <si>
    <t>Leverage ratios</t>
  </si>
  <si>
    <t>Debt ratio</t>
  </si>
  <si>
    <t>Debt-to-equity ratio</t>
  </si>
  <si>
    <t>Назва</t>
  </si>
  <si>
    <t>К-ть проданих</t>
  </si>
  <si>
    <t>Ціна за штуку</t>
  </si>
  <si>
    <t>Стінка "Гуцулка"</t>
  </si>
  <si>
    <t>Кутик "Вечірній Сихів"</t>
  </si>
  <si>
    <t>Кухна "Над Полтвою"</t>
  </si>
  <si>
    <t>Гуцулка</t>
  </si>
  <si>
    <t>Вечірній Сихів</t>
  </si>
  <si>
    <t>Над Полтвою</t>
  </si>
  <si>
    <t>Шпон, м.кв</t>
  </si>
  <si>
    <t>Плита, м. кв</t>
  </si>
  <si>
    <t>Шурупи, шт</t>
  </si>
  <si>
    <t>Тканина, м.кв</t>
  </si>
  <si>
    <t>Фурнітура, шт</t>
  </si>
  <si>
    <t>Замки, шт</t>
  </si>
  <si>
    <t>Шпон, за м.кв</t>
  </si>
  <si>
    <t>Плита, за м. кв</t>
  </si>
  <si>
    <t>Тканина, за м.кв</t>
  </si>
  <si>
    <t>Фурнітура, за шт</t>
  </si>
  <si>
    <t>Замки, за шт</t>
  </si>
  <si>
    <t>Площа</t>
  </si>
  <si>
    <t>Ціна за м.кв</t>
  </si>
  <si>
    <t>Виробниче</t>
  </si>
  <si>
    <t>Офісне</t>
  </si>
  <si>
    <t>Початкова вартість, грн</t>
  </si>
  <si>
    <t>Термін амортизації, років</t>
  </si>
  <si>
    <t>Рік придбання</t>
  </si>
  <si>
    <t>Залишкова вартість</t>
  </si>
  <si>
    <t>Станки</t>
  </si>
  <si>
    <t>Автомобілі</t>
  </si>
  <si>
    <t>Обладнання</t>
  </si>
  <si>
    <t>Механізми</t>
  </si>
  <si>
    <t>Balance Sheet</t>
  </si>
  <si>
    <t>Assets</t>
  </si>
  <si>
    <t>Liabilities</t>
  </si>
  <si>
    <t>Cash</t>
  </si>
  <si>
    <t>Accounts Payable</t>
  </si>
  <si>
    <t>Accounts Receivable</t>
  </si>
  <si>
    <t>Notes</t>
  </si>
  <si>
    <t>Inventory</t>
  </si>
  <si>
    <t>Total Current Liabilities</t>
  </si>
  <si>
    <t>Prepaid Expenses</t>
  </si>
  <si>
    <t>Long-term liabilities</t>
  </si>
  <si>
    <t>Total Current Assets</t>
  </si>
  <si>
    <t>Total Liablities</t>
  </si>
  <si>
    <t>PPE</t>
  </si>
  <si>
    <t>Equity</t>
  </si>
  <si>
    <t>Accumulated Depreciation</t>
  </si>
  <si>
    <t>Shareholders' Equity</t>
  </si>
  <si>
    <t>Intangibles</t>
  </si>
  <si>
    <t>Retained Earnings</t>
  </si>
  <si>
    <t>Total Equity</t>
  </si>
  <si>
    <t>Total Assets</t>
  </si>
  <si>
    <t>Total E+L</t>
  </si>
  <si>
    <t xml:space="preserve">Виробничий відділ надав розрахунок матеріалів необхідних для виготовлення одної штуки продукції. </t>
  </si>
  <si>
    <t xml:space="preserve">Весь персонал компанії становив 20 працівників, включаючи директора. 10 працівників було задіяно на виробництві, з середнім укладом 5000 грн. </t>
  </si>
  <si>
    <t>Ніяких змін в передоплачених витратах та в розмірі нефізичних активів не відбулося.</t>
  </si>
  <si>
    <t>Також, адміністративні витрати становили 5% від валового доходу.</t>
  </si>
  <si>
    <t>Всі покупки відбувались в перший день відповідного року.</t>
  </si>
  <si>
    <t>Компанія орендувала наступні приміщення:</t>
  </si>
  <si>
    <t>Попередні довгострокові борги кошутвали компанії 6% річних.</t>
  </si>
  <si>
    <t>Компанія платила 75% дивідендів щорічно.</t>
  </si>
  <si>
    <t>Компанія заробила 200000 грн в 2016 році. Валові витрати склали 115000 грн а операційні витрати становили 50000 грн. Яка EBITDA компанії?</t>
  </si>
  <si>
    <t xml:space="preserve">Компанія продає шкарпетки. На початку року компанія купила 10000 пар по 10 грн за пару. Шкарпетки продавались по 15 грн за пару. Якщо компанія продала 9000 пар, то яким був її валовий дохід? </t>
  </si>
  <si>
    <t>Ви отримали наступні виписки з бухгалтерії:
Дебіторська заборгованість – 400000 грн
Кредиторська заборгованість – 300000 грн
Короткостроковий кредит - 800000
Готівка – 40000
Облігація терміном на 5 років – 2000000
Вартість складських запасів – 437000
Заборгованість перед працівниками  - 115000
Заплачена абонентська плата на наступний рік на пошті – 15000
Які короткострокові акитви фірми?</t>
  </si>
  <si>
    <t>Компанія перепродує столи. Вільний грошовий потік доступний компанії на кінець року становив 460000 грн. Чистий прибуток компанії був 500000 а амортизація становила 10000. Компанія на початку року закупила 100000 штук столів і всі продала до кінця року, при цьому не докупляючи нових та заплативши повну вартість спочатку. Клієнти розраховувались готівкою відразу. На початку року компанія не мала жодних боргів, проте позичила в лютому 100000 грн для закупівлі торгового обладнання (на всю суму). До кінця року компанія повернула 20000 грн. Які дивіденди отримав власник компанії?</t>
  </si>
  <si>
    <t>На початок року початкова вартість фізичних активів становила 1150000 грн та накопичена амортизація склала 25000 грн. Протягом року компанія докупила обладнання на 65000. Вартість річних амортизаційних витрат склала 15000 грн. Яка чиста вартість фізичних активів компанії на кінець року?</t>
  </si>
  <si>
    <t>Середній уклад адміністративного персоналу становив 7,000 грн, а директор отримував 12,000 грн.</t>
  </si>
  <si>
    <t>Банківські витрати становили 1% від загального доходу. Всі інші операційні витрати склали 1,200,000.</t>
  </si>
  <si>
    <t>Income Statement</t>
  </si>
  <si>
    <t>Cash Flow Statement</t>
  </si>
  <si>
    <t>Revenue</t>
  </si>
  <si>
    <t>COGS</t>
  </si>
  <si>
    <t>Gross Profit</t>
  </si>
  <si>
    <t>EBITDA</t>
  </si>
  <si>
    <t>EBIT</t>
  </si>
  <si>
    <t>Interest</t>
  </si>
  <si>
    <t>EBT</t>
  </si>
  <si>
    <t>Capex</t>
  </si>
  <si>
    <t>Dividends</t>
  </si>
  <si>
    <t>Interest Coverage</t>
  </si>
  <si>
    <t>OpEx</t>
  </si>
  <si>
    <t>Depreciation</t>
  </si>
  <si>
    <t>TAXES</t>
  </si>
  <si>
    <t>NET INCOME</t>
  </si>
  <si>
    <t>DIVIDENDS</t>
  </si>
  <si>
    <t>RETAINED EARNINGS</t>
  </si>
  <si>
    <t>Operations</t>
  </si>
  <si>
    <t>Net Income</t>
  </si>
  <si>
    <t>Change in working capital</t>
  </si>
  <si>
    <t>CF from Operations</t>
  </si>
  <si>
    <t>Investing</t>
  </si>
  <si>
    <t>Proceeds from disposal</t>
  </si>
  <si>
    <t>CF from investing</t>
  </si>
  <si>
    <t>Financing</t>
  </si>
  <si>
    <t>Change in debt</t>
  </si>
  <si>
    <t>CF from financing</t>
  </si>
  <si>
    <t>Free CF</t>
  </si>
  <si>
    <t>Financial Ratios</t>
  </si>
  <si>
    <t>Також, біля кожної дії, внесіть пояснення своєї логіки (одне-два речення).</t>
  </si>
  <si>
    <t>Внесіть розв'язок до кейсу в цій закладці. Відповіді в закладці Case-Answers повинні бути залінковані до розв'язку тут.</t>
  </si>
  <si>
    <t>Кейс 1</t>
  </si>
  <si>
    <t>Кейс 1:</t>
  </si>
  <si>
    <t>Одне питання оцінюється в 1%</t>
  </si>
  <si>
    <t>Потрібно показати розрахунок в відведених полях та внести відповіді в жовті клітинки</t>
  </si>
  <si>
    <t>ОСНОВНІ ЗАВДАННЯ</t>
  </si>
  <si>
    <t>Шурупи, за шт</t>
  </si>
  <si>
    <t xml:space="preserve">Порахуйте фінансові коефіцієнти для цієї компанії. Це питання ми не встигнули розлянути в класі, тому потрібно розібратися самосітйно (презентація 4 - Financial Ratios). </t>
  </si>
  <si>
    <t>Компанія АВС займається виготовленням меблів та продає їх на внутрішньому ринку. Пропозиція продукції компанії у 2018 році виглядала наступним чином:</t>
  </si>
  <si>
    <t xml:space="preserve">У 2019 році компанія підняла всі ціни на 20%. Продажі у 2019 році становили: Гуцулка – 3,200, Вечірній Сихів – 1,800, Над Полтвою – 1,000 (штук). </t>
  </si>
  <si>
    <t>В той же ж час, вартість матеріалів у 2018 році становила:</t>
  </si>
  <si>
    <t xml:space="preserve">Ціни на матеріали не мінялися протягом 2018-2019 років. </t>
  </si>
  <si>
    <t>У 2019 році компанія вирішила потратити на закупівлю матеріалів  на 2% більше від запланованих необхідних витрат на матеріали. У 2019 усі фактичні витрати на матеріали дорівнювали запланованим.</t>
  </si>
  <si>
    <t>На початку 2019 року компанія почала річну маркетингову кампанію для просування свого продукту. ЇЇ вартість становила 15,000,000 грн.</t>
  </si>
  <si>
    <t>В останній день 2019 роцу компанія виплатила 300,000 грн по своїх короткострокових боргах на які процент був 4%.</t>
  </si>
  <si>
    <t>Фізичні активи компанії на кінець 2018 року виглядали так:</t>
  </si>
  <si>
    <t>Проте, всю дебіторську та кредиторську заборгованість яка була на кінець 2018 було погашено погашено протягом 2019 року.</t>
  </si>
  <si>
    <t>Звіт про фінансову позицію за 2018 рік наведений нижче.</t>
  </si>
  <si>
    <t>Також, на початок 2019 році компанія докупила обладнання на суму 500,000 грн. Це обладнання буде продано через 4 роки за 60% від початкової вартості.</t>
  </si>
  <si>
    <t>Проте, 30 червня АВС випустила облігацію терміном погашення 5 років на суму 500,000 під 5% річних та виплатою кожні півроку.</t>
  </si>
  <si>
    <t>Також, компанія оподатковувалася на загальній систетмі за ставкою 19,5%.</t>
  </si>
  <si>
    <t>ВПИШІТЬ ВІДПОВІДІ В ТАБЛИЧКУ В КОЛОНКАХ K:L!!!! ВІДПОВІДЬ ПОВИННА БУТИ КІНЦЕВОЮ ЦИФРОЮ, ДВА ЗНАЧЕННЯ ПІСЛЯ КОМИ (КРІМ ПИТАНЬ 16-17)</t>
  </si>
  <si>
    <t>Change in Shareholders' Equity</t>
  </si>
  <si>
    <t>Станом на кінець 2019 року компанія не оплатила  постачальникам 3% від вартості закуплених матеріалів. Всі матеріали з 2018 року були використані протягом 2019.</t>
  </si>
  <si>
    <t>Також, станом на кінець 2019 року, 0,5% від доходу компанії за цей рік ще поки не було оплачено клієнтами.</t>
  </si>
  <si>
    <t>На кінець 2019 року у менеджерів на руках залишилось 5858864,48 грн готівки.</t>
  </si>
  <si>
    <t>Складіть Income Statement, Balance Sheet та Cash Flow Statement для компанії ABC станом на кінець 2019 року.</t>
  </si>
  <si>
    <t>Оцінюється правильність розрахунків (в жовтих клітинках заокруглено 2 цифр після коми - Case Answers) і пояснень до них (довільна форма в Case Solving&amp;Explanation)</t>
  </si>
  <si>
    <t>OPEX</t>
  </si>
  <si>
    <t>GP</t>
  </si>
  <si>
    <t xml:space="preserve">GP = Revenue - COGS </t>
  </si>
  <si>
    <t>EBITDA = GP - OPEX</t>
  </si>
  <si>
    <t>CAPEX</t>
  </si>
  <si>
    <t>Total Cash Flow from Financing Activities</t>
  </si>
  <si>
    <t>Total Cash Flow from Operating Activities</t>
  </si>
  <si>
    <t>Total Cash Flow from Investing Activities</t>
  </si>
  <si>
    <t>Free Cash Flow to the Firm</t>
  </si>
  <si>
    <t>Taxes</t>
  </si>
  <si>
    <t>NI</t>
  </si>
  <si>
    <t>CASH</t>
  </si>
  <si>
    <t>Total current assets</t>
  </si>
  <si>
    <t>Net working capital is the aggregate amount of all current assets and current liabilities.</t>
  </si>
  <si>
    <t>Salary</t>
  </si>
  <si>
    <t>Shorterm credit</t>
  </si>
  <si>
    <t>Current Liabilities</t>
  </si>
  <si>
    <t>Net working capital</t>
  </si>
  <si>
    <t>Long-term Liabilities</t>
  </si>
  <si>
    <t>TOTAL LIABILIETIES</t>
  </si>
  <si>
    <t>EOY</t>
  </si>
  <si>
    <t>Accumulated Retained Earnings (START)</t>
  </si>
  <si>
    <t>EOY Accumulated Retained Earnings</t>
  </si>
  <si>
    <t>DA</t>
  </si>
  <si>
    <t>Changes AP</t>
  </si>
  <si>
    <t>Free CF = CF from OA + CF from FA</t>
  </si>
  <si>
    <t>CF from OA</t>
  </si>
  <si>
    <t>CF from FA</t>
  </si>
  <si>
    <t>Dividents</t>
  </si>
  <si>
    <t>Totat DA</t>
  </si>
  <si>
    <t>DA1</t>
  </si>
  <si>
    <t>DA2</t>
  </si>
  <si>
    <t>DA3</t>
  </si>
  <si>
    <t>Retained Earnings = NI - Dividends</t>
  </si>
  <si>
    <t>=</t>
  </si>
  <si>
    <t>EBiTDA</t>
  </si>
  <si>
    <t>WC</t>
  </si>
  <si>
    <t>CF from OP</t>
  </si>
  <si>
    <t>TA</t>
  </si>
  <si>
    <t>Stakeholders' Equity</t>
  </si>
  <si>
    <t>TOTAL LIABILITIES &amp; EQUITY</t>
  </si>
  <si>
    <t xml:space="preserve"> = TOTAL ASSETS</t>
  </si>
  <si>
    <t>SOY</t>
  </si>
  <si>
    <t>changes</t>
  </si>
  <si>
    <t>Tot. CA</t>
  </si>
  <si>
    <t>FA</t>
  </si>
  <si>
    <t>FA = PPE -DA + Intangibles + Goodwill + other FA</t>
  </si>
  <si>
    <t>Найлегше далися задачі пов'язані з Income Statement та Balance Sheet</t>
  </si>
  <si>
    <t>Cash Flow - найтяжче</t>
  </si>
  <si>
    <t>DA = (початкова вартість - залишкова вартість)/корисний період</t>
  </si>
  <si>
    <t>Чим довший термін погашення кредиту тим вищий ризик і вища</t>
  </si>
  <si>
    <t xml:space="preserve"> вартість  ресурсів кредитора. </t>
  </si>
  <si>
    <t>REVENUE</t>
  </si>
  <si>
    <t>REVENUE:</t>
  </si>
  <si>
    <t xml:space="preserve">Explanation: </t>
  </si>
  <si>
    <t>COGS -  (Cost of Goods Sold)</t>
  </si>
  <si>
    <t>прямі витрати, асоційовані з виробництвом
продукції або тим що генерує дохід.</t>
  </si>
  <si>
    <t>REVENUE = PRICE x VOLUME</t>
  </si>
  <si>
    <t xml:space="preserve"> Розрахунок вартості матеріалів:</t>
  </si>
  <si>
    <t>Вартість матеріалів у 2018-2019 році:</t>
  </si>
  <si>
    <t>Ціна виготовлення за штуку</t>
  </si>
  <si>
    <t>Ціна всіх проданих</t>
  </si>
  <si>
    <t>Total:</t>
  </si>
  <si>
    <t>Оплата праці виробничого персоналу:</t>
  </si>
  <si>
    <t xml:space="preserve"> - Зарплата 10 працівників задіяних на виробництві за рік часу</t>
  </si>
  <si>
    <t>Оренда виробничого приміщення</t>
  </si>
  <si>
    <t>Оренда і вартість</t>
  </si>
  <si>
    <t>ЗП невиробничого персоналу</t>
  </si>
  <si>
    <t>Оренда</t>
  </si>
  <si>
    <t>Комунальні</t>
  </si>
  <si>
    <t>Маркетинг</t>
  </si>
  <si>
    <t>Банківські витрати</t>
  </si>
  <si>
    <t>Інші операційні витрати</t>
  </si>
  <si>
    <t>Дохід, який не включає в себе собівартість продукції.</t>
  </si>
  <si>
    <t>Gross Profit = Revenue - COGS =</t>
  </si>
  <si>
    <t>Зарплати працівників</t>
  </si>
  <si>
    <t>кількість</t>
  </si>
  <si>
    <t>оклад</t>
  </si>
  <si>
    <t>Директор</t>
  </si>
  <si>
    <t>адміністративний персонал</t>
  </si>
  <si>
    <t>виробничий персонал</t>
  </si>
  <si>
    <t>Адміністративні витрати</t>
  </si>
  <si>
    <t>TOTAL OPEX:</t>
  </si>
  <si>
    <t xml:space="preserve">Total COGS: </t>
  </si>
  <si>
    <t xml:space="preserve">EBITDA = Gross Profit - OPEX = </t>
  </si>
  <si>
    <t>Амортизація</t>
  </si>
  <si>
    <t xml:space="preserve">Також, на початок 2019 році компанія докупила обладнання на суму 500,000 грн. Це обладнання буде продано через 4 роки за 60% від початкової вартості.						</t>
  </si>
  <si>
    <t>Нове обладнення</t>
  </si>
  <si>
    <t>Depreciation:</t>
  </si>
  <si>
    <t>Облігація</t>
  </si>
  <si>
    <t>Кредит довгостроковий</t>
  </si>
  <si>
    <t>Загально:</t>
  </si>
  <si>
    <t xml:space="preserve">Interest: </t>
  </si>
  <si>
    <t>EBIT = EBITDA - Depreciation</t>
  </si>
  <si>
    <t>EBT = EBIT - Interest</t>
  </si>
  <si>
    <t>TAXES = EBT * 19,5%</t>
  </si>
  <si>
    <t>Net Income = EBT - TAXES</t>
  </si>
  <si>
    <t>Devidends</t>
  </si>
  <si>
    <t xml:space="preserve"> = Net income * %</t>
  </si>
  <si>
    <t>Net Income - Devidends</t>
  </si>
  <si>
    <t>Вартість матеріалів:</t>
  </si>
  <si>
    <t>PPE 2019</t>
  </si>
  <si>
    <t>Амортизація за попередній період + за поточний</t>
  </si>
  <si>
    <t xml:space="preserve"> -</t>
  </si>
  <si>
    <t>Довгостроковий кредит</t>
  </si>
  <si>
    <t>Закуплено матеріалів в 2019 році:</t>
  </si>
  <si>
    <t>Не виплачено по закупленому:</t>
  </si>
  <si>
    <t xml:space="preserve">EBT </t>
  </si>
  <si>
    <t xml:space="preserve">TAXES </t>
  </si>
  <si>
    <t xml:space="preserve">Net Income </t>
  </si>
  <si>
    <t xml:space="preserve">EBIT </t>
  </si>
  <si>
    <t>BOY</t>
  </si>
  <si>
    <t>Change</t>
  </si>
  <si>
    <t>TOTAL</t>
  </si>
  <si>
    <t>-</t>
  </si>
  <si>
    <t>LT liabilities 2018</t>
  </si>
  <si>
    <t>LT liabilities 2019</t>
  </si>
  <si>
    <t>Notes 2018</t>
  </si>
  <si>
    <t>Notes 2019</t>
  </si>
  <si>
    <t>Current Ratio =Current Assets/Current Liabilities</t>
  </si>
  <si>
    <t>Пояснення: Чим більший коефіціент тим вища ліквідність</t>
  </si>
  <si>
    <t>Показує чи здатна компанія платити за поточними рахунками</t>
  </si>
  <si>
    <t xml:space="preserve">Quick ratio = (Current assets – Inventories) / Current liabilities </t>
  </si>
  <si>
    <t>Cash Ratio = Cash / Current liabilities</t>
  </si>
  <si>
    <t>Total assets turnover = Total operating revenues/ Average total assets</t>
  </si>
  <si>
    <t>Receivables Turnover = Total Operating Revenue / Average Receivables</t>
  </si>
  <si>
    <t>Inventory Turnover = COGS / Average Inventory</t>
  </si>
  <si>
    <t>Days in Inventory = Days in period / Inventory Turnover</t>
  </si>
  <si>
    <t>Net profit margin = Net Income / Total operating revenue</t>
  </si>
  <si>
    <t>EBITDA margin = EBITDA / Total revenue</t>
  </si>
  <si>
    <t>Gross profit margin = Gross Profit / Total revenue</t>
  </si>
  <si>
    <t>ROA = Net Income / Average total assets</t>
  </si>
  <si>
    <t>ROE = Net Income / Average Shareholders’ Equity</t>
  </si>
  <si>
    <t>Debt ratio = Total Debt / Total assets</t>
  </si>
  <si>
    <t>Debt - to-equity = Total debt / Total equity</t>
  </si>
  <si>
    <t>Тобто, наскільки швидко компанія може заплатити</t>
  </si>
  <si>
    <t>свої рахунки за найпершої необхідності.</t>
  </si>
  <si>
    <t xml:space="preserve">Показує наскільки найбільш ліквідні активи
можуть покривати короткотермінові зобов'язання.
</t>
  </si>
  <si>
    <t>показує наскільки швидко компанія може заплатити свої короткострокові рахунки за рахунок наявної готівки.</t>
  </si>
  <si>
    <t xml:space="preserve">Показує наскільки ефективно
активи компанії генерують дохід.
</t>
  </si>
  <si>
    <t>Чим вище,</t>
  </si>
  <si>
    <t>тим краще.</t>
  </si>
  <si>
    <t>показує наскільки добре компанія справляється зі своєю дебіторською заборгованістю</t>
  </si>
  <si>
    <t>показує наскільки швидко складські
запаси перетворюються в продажі</t>
  </si>
  <si>
    <t xml:space="preserve">Коефіціенти прибутковості: </t>
  </si>
  <si>
    <t>один з коефіцієнтів, який показує ефективність
менеджменту компанії.</t>
  </si>
  <si>
    <t>показує прибуток доступний власникам капіталу компанії</t>
  </si>
  <si>
    <t>– показують наскільки компанія є прибутковою. (наступні три)</t>
  </si>
  <si>
    <t>Average total assets = (TA2019 + TA2018)/2=</t>
  </si>
  <si>
    <t>Average Collection period = Days in period / Receivables Turnover = 365/RT</t>
  </si>
  <si>
    <t>AVG Inventory = (INV2018 + INV2019)/2</t>
  </si>
  <si>
    <t xml:space="preserve"> Average Receivables = (AR2018+AR2019)/2</t>
  </si>
  <si>
    <t>показує скільки товар перебуває в компанії перед тим як його продати</t>
  </si>
  <si>
    <t>AVG SE = (SE2018+SE2019)/2</t>
  </si>
  <si>
    <t>Боргові коефіціенти - показують наскільки компанія залежна
від власних боргових зобов'язань.</t>
  </si>
  <si>
    <t>(наступні два)</t>
  </si>
  <si>
    <t>показує наскільки активи компанії навантажені
боргами (структура капіталу).</t>
  </si>
  <si>
    <t>показує яка частка фінансування борговим капіталом припадає на власний капітал.</t>
  </si>
  <si>
    <t>Interest coverage ratio = EBIT / Interest expenses</t>
  </si>
  <si>
    <t xml:space="preserve">is a measure of a company's ability to meet its interest payments. </t>
  </si>
  <si>
    <t>A higher ratio indicates a better financial health as it means that the company is more capable to meeting its interest obligations from operating earnings.</t>
  </si>
  <si>
    <t>When a company's interest coverage ratio is only 1.5 or lower, its ability to meet interest expenses may be questionable.</t>
  </si>
  <si>
    <t xml:space="preserve"> = Total liabilities/Total Assets</t>
  </si>
  <si>
    <t xml:space="preserve"> = Total liabilities/Total Equity</t>
  </si>
  <si>
    <t>короткостроковий кредит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</si>
</sst>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00\ _₴_-;\-* #,##0.00\ _₴_-;_-* &quot;-&quot;??\ _₴_-;_-@_-"/>
    <numFmt numFmtId="166" formatCode="_(* #,##0_);_(* \(#,##0\);_(* &quot;-&quot;??_);_(@_)"/>
  </numFmts>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theme="1"/>
      <name val="Calibri"/>
      <family val="2"/>
      <charset val="204"/>
      <scheme val="minor"/>
    </font>
    <font>
      <b/>
      <sz val="11"/>
      <color rgb="FFFF0000"/>
      <name val="Calibri"/>
      <family val="2"/>
      <charset val="204"/>
      <scheme val="minor"/>
    </font>
    <font>
      <b/>
      <sz val="12"/>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theme="9"/>
        <bgColor indexed="64"/>
      </patternFill>
    </fill>
    <fill>
      <patternFill patternType="solid">
        <fgColor theme="0" tint="-0.14999847407452621"/>
        <bgColor indexed="64"/>
      </patternFill>
    </fill>
    <fill>
      <patternFill patternType="solid">
        <fgColor theme="5"/>
        <bgColor indexed="64"/>
      </patternFill>
    </fill>
  </fills>
  <borders count="29">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top/>
      <bottom style="double">
        <color indexed="64"/>
      </bottom>
      <diagonal/>
    </border>
  </borders>
  <cellStyleXfs count="2">
    <xf numFmtId="0" fontId="0" fillId="0" borderId="0"/>
    <xf numFmtId="164" fontId="1" fillId="0" borderId="0" applyFont="0" applyFill="0" applyBorder="0" applyAlignment="0" applyProtection="0"/>
  </cellStyleXfs>
  <cellXfs count="152">
    <xf numFmtId="0" fontId="0" fillId="0" borderId="0" xfId="0"/>
    <xf numFmtId="0" fontId="3" fillId="0" borderId="1" xfId="0" applyFont="1" applyBorder="1"/>
    <xf numFmtId="0" fontId="0" fillId="0" borderId="1" xfId="0" applyBorder="1"/>
    <xf numFmtId="0" fontId="3" fillId="0" borderId="0" xfId="0" applyFont="1"/>
    <xf numFmtId="9" fontId="3" fillId="0" borderId="0" xfId="0" applyNumberFormat="1" applyFont="1"/>
    <xf numFmtId="0" fontId="4" fillId="0" borderId="2" xfId="0" applyFont="1" applyBorder="1"/>
    <xf numFmtId="0" fontId="0" fillId="0" borderId="3" xfId="0" applyBorder="1"/>
    <xf numFmtId="0" fontId="0" fillId="0" borderId="4" xfId="0" applyBorder="1"/>
    <xf numFmtId="0" fontId="3" fillId="0" borderId="5" xfId="0" applyFont="1" applyBorder="1"/>
    <xf numFmtId="0" fontId="0" fillId="0" borderId="0" xfId="0" applyBorder="1"/>
    <xf numFmtId="0" fontId="0" fillId="0" borderId="6" xfId="0" applyBorder="1"/>
    <xf numFmtId="0" fontId="0" fillId="0" borderId="8" xfId="0" applyBorder="1"/>
    <xf numFmtId="0" fontId="4" fillId="0" borderId="5"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Border="1" applyAlignment="1">
      <alignment horizontal="center"/>
    </xf>
    <xf numFmtId="0" fontId="0" fillId="0" borderId="18" xfId="0" applyBorder="1"/>
    <xf numFmtId="0" fontId="0" fillId="0" borderId="0" xfId="0" applyAlignment="1">
      <alignment vertical="center"/>
    </xf>
    <xf numFmtId="0" fontId="0" fillId="0" borderId="17" xfId="0" applyFill="1" applyBorder="1"/>
    <xf numFmtId="0" fontId="0" fillId="0" borderId="0" xfId="0" applyFill="1" applyBorder="1"/>
    <xf numFmtId="0" fontId="0" fillId="0" borderId="20" xfId="0" applyBorder="1"/>
    <xf numFmtId="0" fontId="0" fillId="0" borderId="19" xfId="0" applyBorder="1"/>
    <xf numFmtId="0" fontId="0" fillId="0" borderId="17" xfId="0" applyBorder="1"/>
    <xf numFmtId="0" fontId="0" fillId="0" borderId="22" xfId="0" applyBorder="1"/>
    <xf numFmtId="0" fontId="0" fillId="0" borderId="21" xfId="0" applyBorder="1"/>
    <xf numFmtId="0" fontId="0" fillId="0" borderId="23" xfId="0" applyBorder="1"/>
    <xf numFmtId="166" fontId="0" fillId="0" borderId="17" xfId="1" applyNumberFormat="1" applyFont="1" applyBorder="1"/>
    <xf numFmtId="0" fontId="0" fillId="0" borderId="24" xfId="0" applyBorder="1"/>
    <xf numFmtId="166" fontId="0" fillId="0" borderId="19" xfId="1" applyNumberFormat="1" applyFont="1" applyBorder="1"/>
    <xf numFmtId="0" fontId="0" fillId="0" borderId="25" xfId="0" applyBorder="1"/>
    <xf numFmtId="166" fontId="0" fillId="0" borderId="21" xfId="1" applyNumberFormat="1" applyFont="1" applyBorder="1"/>
    <xf numFmtId="0" fontId="0" fillId="0" borderId="26" xfId="0" applyBorder="1"/>
    <xf numFmtId="0" fontId="0" fillId="0" borderId="27" xfId="0" applyBorder="1"/>
    <xf numFmtId="0" fontId="0" fillId="0" borderId="28" xfId="0" applyBorder="1"/>
    <xf numFmtId="166" fontId="0" fillId="0" borderId="27" xfId="1" applyNumberFormat="1" applyFont="1" applyBorder="1"/>
    <xf numFmtId="0" fontId="4" fillId="0" borderId="22" xfId="0" applyFont="1" applyBorder="1"/>
    <xf numFmtId="0" fontId="4" fillId="0" borderId="23" xfId="0" applyFont="1" applyBorder="1"/>
    <xf numFmtId="0" fontId="2" fillId="0" borderId="7" xfId="0" applyFont="1" applyBorder="1"/>
    <xf numFmtId="0" fontId="2" fillId="0" borderId="8" xfId="0" applyFont="1" applyBorder="1"/>
    <xf numFmtId="0" fontId="2" fillId="0" borderId="9" xfId="0" applyFont="1" applyBorder="1"/>
    <xf numFmtId="0" fontId="2" fillId="0" borderId="5" xfId="0" applyFont="1" applyBorder="1"/>
    <xf numFmtId="0" fontId="2" fillId="0" borderId="0" xfId="0" applyFont="1" applyBorder="1"/>
    <xf numFmtId="0" fontId="2" fillId="0" borderId="6" xfId="0" applyFont="1" applyBorder="1"/>
    <xf numFmtId="0" fontId="2" fillId="0" borderId="10" xfId="0" applyFont="1" applyBorder="1"/>
    <xf numFmtId="0" fontId="2" fillId="0" borderId="11" xfId="0" applyFont="1" applyBorder="1"/>
    <xf numFmtId="0" fontId="2" fillId="0" borderId="12" xfId="0" applyFont="1" applyBorder="1"/>
    <xf numFmtId="0" fontId="2" fillId="0" borderId="0" xfId="0" applyFont="1"/>
    <xf numFmtId="166" fontId="0" fillId="0" borderId="0" xfId="1" applyNumberFormat="1" applyFont="1" applyBorder="1" applyAlignment="1">
      <alignment horizontal="center"/>
    </xf>
    <xf numFmtId="166" fontId="0" fillId="0" borderId="17" xfId="1" applyNumberFormat="1" applyFont="1" applyBorder="1" applyAlignment="1">
      <alignment horizontal="center"/>
    </xf>
    <xf numFmtId="166" fontId="0" fillId="0" borderId="1" xfId="1" applyNumberFormat="1" applyFont="1" applyBorder="1" applyAlignment="1">
      <alignment horizontal="center"/>
    </xf>
    <xf numFmtId="166" fontId="0" fillId="0" borderId="19" xfId="1" applyNumberFormat="1" applyFont="1" applyBorder="1" applyAlignment="1">
      <alignment horizontal="center"/>
    </xf>
    <xf numFmtId="0" fontId="0" fillId="0" borderId="14" xfId="0" applyBorder="1" applyAlignment="1">
      <alignment horizontal="right"/>
    </xf>
    <xf numFmtId="0" fontId="0" fillId="0" borderId="15" xfId="0" applyBorder="1" applyAlignment="1">
      <alignment horizontal="right"/>
    </xf>
    <xf numFmtId="0" fontId="0" fillId="0" borderId="13" xfId="0" applyBorder="1" applyAlignment="1">
      <alignment horizontal="center" vertical="center" wrapText="1"/>
    </xf>
    <xf numFmtId="166" fontId="0" fillId="0" borderId="20" xfId="1" applyNumberFormat="1" applyFont="1" applyBorder="1" applyAlignment="1">
      <alignment horizontal="center"/>
    </xf>
    <xf numFmtId="166" fontId="0" fillId="0" borderId="16" xfId="1" applyNumberFormat="1" applyFont="1" applyBorder="1" applyAlignment="1">
      <alignment horizontal="center"/>
    </xf>
    <xf numFmtId="166" fontId="0" fillId="0" borderId="18" xfId="1" applyNumberFormat="1" applyFont="1" applyBorder="1" applyAlignment="1">
      <alignment horizontal="center"/>
    </xf>
    <xf numFmtId="166" fontId="0" fillId="0" borderId="18" xfId="1" applyNumberFormat="1" applyFont="1" applyBorder="1"/>
    <xf numFmtId="0" fontId="0" fillId="0" borderId="13" xfId="0" applyBorder="1" applyAlignment="1">
      <alignment horizontal="right"/>
    </xf>
    <xf numFmtId="0" fontId="4" fillId="0" borderId="0" xfId="0" applyFont="1"/>
    <xf numFmtId="0" fontId="3" fillId="0" borderId="25" xfId="0" applyFont="1" applyBorder="1"/>
    <xf numFmtId="0" fontId="3" fillId="0" borderId="24" xfId="0" applyFont="1" applyBorder="1"/>
    <xf numFmtId="9" fontId="3" fillId="0" borderId="19" xfId="0" applyNumberFormat="1" applyFont="1" applyBorder="1"/>
    <xf numFmtId="0" fontId="0" fillId="2" borderId="0" xfId="0" applyFill="1" applyBorder="1"/>
    <xf numFmtId="0" fontId="0" fillId="2" borderId="21" xfId="0" applyFill="1" applyBorder="1"/>
    <xf numFmtId="0" fontId="0" fillId="2" borderId="17" xfId="0" applyFill="1" applyBorder="1"/>
    <xf numFmtId="164" fontId="0" fillId="2" borderId="17" xfId="1" applyFont="1" applyFill="1" applyBorder="1"/>
    <xf numFmtId="164" fontId="0" fillId="2" borderId="19" xfId="1" applyFont="1" applyFill="1" applyBorder="1"/>
    <xf numFmtId="0" fontId="5" fillId="0" borderId="23" xfId="0" applyFont="1" applyBorder="1"/>
    <xf numFmtId="0" fontId="5" fillId="0" borderId="0" xfId="0" applyFont="1" applyBorder="1"/>
    <xf numFmtId="9" fontId="6" fillId="0" borderId="17" xfId="0" applyNumberFormat="1" applyFont="1" applyBorder="1"/>
    <xf numFmtId="0" fontId="5" fillId="0" borderId="24" xfId="0" applyFont="1" applyBorder="1"/>
    <xf numFmtId="0" fontId="5" fillId="0" borderId="1" xfId="0" applyFont="1" applyBorder="1"/>
    <xf numFmtId="9" fontId="6" fillId="0" borderId="19" xfId="0" applyNumberFormat="1" applyFont="1" applyBorder="1"/>
    <xf numFmtId="0" fontId="6" fillId="0" borderId="25" xfId="0" applyFont="1" applyBorder="1"/>
    <xf numFmtId="0" fontId="6" fillId="0" borderId="0" xfId="0" applyFont="1"/>
    <xf numFmtId="166" fontId="0" fillId="0" borderId="0" xfId="1" applyNumberFormat="1" applyFont="1" applyFill="1" applyBorder="1" applyAlignment="1">
      <alignment horizontal="center"/>
    </xf>
    <xf numFmtId="166" fontId="0" fillId="0" borderId="0" xfId="0" applyNumberFormat="1"/>
    <xf numFmtId="164" fontId="0" fillId="2" borderId="21" xfId="1" applyFont="1" applyFill="1" applyBorder="1"/>
    <xf numFmtId="164" fontId="0" fillId="2" borderId="27" xfId="1" applyFont="1" applyFill="1" applyBorder="1"/>
    <xf numFmtId="164" fontId="0" fillId="0" borderId="17" xfId="1" applyFont="1" applyBorder="1"/>
    <xf numFmtId="164" fontId="0" fillId="0" borderId="27" xfId="1" applyFont="1" applyBorder="1"/>
    <xf numFmtId="164" fontId="3" fillId="2" borderId="19" xfId="1" applyFont="1" applyFill="1" applyBorder="1"/>
    <xf numFmtId="0" fontId="5" fillId="0" borderId="0" xfId="0" applyFont="1"/>
    <xf numFmtId="1" fontId="0" fillId="0" borderId="0" xfId="0" applyNumberFormat="1"/>
    <xf numFmtId="165" fontId="0" fillId="0" borderId="0" xfId="0" applyNumberFormat="1"/>
    <xf numFmtId="2" fontId="0" fillId="0" borderId="0" xfId="0" applyNumberFormat="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3" fillId="0" borderId="23"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4" fillId="0" borderId="22" xfId="0" applyFont="1" applyBorder="1" applyAlignment="1">
      <alignment horizontal="center"/>
    </xf>
    <xf numFmtId="0" fontId="4" fillId="0" borderId="8" xfId="0" applyFont="1" applyBorder="1" applyAlignment="1">
      <alignment horizontal="center"/>
    </xf>
    <xf numFmtId="0" fontId="4" fillId="0" borderId="21" xfId="0" applyFont="1" applyBorder="1" applyAlignment="1">
      <alignment horizontal="center"/>
    </xf>
    <xf numFmtId="0" fontId="4" fillId="0" borderId="24" xfId="0" applyFont="1" applyBorder="1" applyAlignment="1">
      <alignment horizontal="center"/>
    </xf>
    <xf numFmtId="0" fontId="4" fillId="0" borderId="1" xfId="0" applyFont="1" applyBorder="1" applyAlignment="1">
      <alignment horizontal="center"/>
    </xf>
    <xf numFmtId="0" fontId="4" fillId="0" borderId="19" xfId="0" applyFont="1" applyBorder="1" applyAlignment="1">
      <alignment horizontal="center"/>
    </xf>
    <xf numFmtId="0" fontId="8" fillId="0" borderId="11" xfId="0" applyFont="1" applyBorder="1"/>
    <xf numFmtId="0" fontId="0" fillId="2" borderId="19" xfId="0" applyFill="1" applyBorder="1"/>
    <xf numFmtId="0" fontId="0" fillId="0" borderId="4" xfId="0" applyFill="1" applyBorder="1"/>
    <xf numFmtId="0" fontId="0" fillId="0" borderId="0" xfId="0" applyFill="1"/>
    <xf numFmtId="0" fontId="5" fillId="3" borderId="0" xfId="0" applyFont="1" applyFill="1"/>
    <xf numFmtId="0" fontId="0" fillId="3" borderId="0" xfId="0" applyFill="1"/>
    <xf numFmtId="0" fontId="0" fillId="4" borderId="0" xfId="0" applyFill="1"/>
    <xf numFmtId="0" fontId="0" fillId="4" borderId="0" xfId="0" applyFill="1" applyAlignment="1">
      <alignment horizontal="center"/>
    </xf>
    <xf numFmtId="0" fontId="7" fillId="0" borderId="0" xfId="0" applyFont="1"/>
    <xf numFmtId="0" fontId="3" fillId="3" borderId="0" xfId="0" applyFont="1" applyFill="1"/>
    <xf numFmtId="0" fontId="0" fillId="0" borderId="0" xfId="0" applyAlignment="1">
      <alignment wrapText="1"/>
    </xf>
    <xf numFmtId="0" fontId="0" fillId="0" borderId="0" xfId="0" applyAlignment="1"/>
    <xf numFmtId="0" fontId="0" fillId="6" borderId="0" xfId="0" applyFill="1" applyAlignment="1">
      <alignment vertical="center"/>
    </xf>
    <xf numFmtId="0" fontId="0" fillId="6" borderId="0" xfId="0" applyFill="1"/>
    <xf numFmtId="0" fontId="0" fillId="6" borderId="17" xfId="0" applyFill="1" applyBorder="1"/>
    <xf numFmtId="0" fontId="0" fillId="6" borderId="0" xfId="0" applyFill="1" applyAlignment="1">
      <alignment horizontal="center"/>
    </xf>
    <xf numFmtId="0" fontId="0" fillId="0" borderId="0" xfId="0" applyAlignment="1">
      <alignment horizontal="right"/>
    </xf>
    <xf numFmtId="0" fontId="0" fillId="0" borderId="0" xfId="0" applyFont="1" applyAlignment="1"/>
    <xf numFmtId="0" fontId="0" fillId="0" borderId="0" xfId="0" applyFont="1"/>
    <xf numFmtId="166" fontId="0" fillId="0" borderId="21" xfId="1" applyNumberFormat="1" applyFont="1" applyBorder="1" applyAlignment="1">
      <alignment horizontal="center"/>
    </xf>
    <xf numFmtId="0" fontId="0" fillId="0" borderId="24" xfId="0" applyFill="1" applyBorder="1"/>
    <xf numFmtId="0" fontId="0" fillId="0" borderId="20" xfId="0" applyBorder="1" applyAlignment="1">
      <alignment horizontal="right"/>
    </xf>
    <xf numFmtId="0" fontId="0" fillId="0" borderId="21" xfId="0" applyBorder="1" applyAlignment="1">
      <alignment horizontal="right"/>
    </xf>
    <xf numFmtId="0" fontId="0" fillId="0" borderId="13" xfId="0" applyFill="1" applyBorder="1" applyAlignment="1">
      <alignment horizontal="center" vertical="center" wrapText="1"/>
    </xf>
    <xf numFmtId="166" fontId="0" fillId="0" borderId="20" xfId="0" applyNumberFormat="1" applyBorder="1"/>
    <xf numFmtId="166" fontId="0" fillId="0" borderId="16" xfId="0" applyNumberFormat="1" applyBorder="1"/>
    <xf numFmtId="166" fontId="0" fillId="0" borderId="18" xfId="0" applyNumberFormat="1" applyBorder="1"/>
    <xf numFmtId="166" fontId="0" fillId="0" borderId="13" xfId="0" applyNumberFormat="1" applyBorder="1"/>
    <xf numFmtId="9" fontId="0" fillId="0" borderId="8" xfId="0" applyNumberFormat="1" applyBorder="1"/>
    <xf numFmtId="9" fontId="0" fillId="0" borderId="0" xfId="0" applyNumberFormat="1" applyBorder="1"/>
    <xf numFmtId="0" fontId="0" fillId="7" borderId="0" xfId="0" applyFill="1"/>
    <xf numFmtId="0" fontId="3" fillId="7" borderId="0" xfId="0" applyFont="1" applyFill="1"/>
    <xf numFmtId="166" fontId="0" fillId="3" borderId="0" xfId="0" applyNumberFormat="1" applyFill="1"/>
    <xf numFmtId="0" fontId="3" fillId="0" borderId="0" xfId="0" applyFont="1" applyFill="1"/>
    <xf numFmtId="166" fontId="0" fillId="0" borderId="0" xfId="0" applyNumberFormat="1" applyFill="1"/>
    <xf numFmtId="166" fontId="3" fillId="0" borderId="0" xfId="0" applyNumberFormat="1" applyFont="1" applyFill="1"/>
    <xf numFmtId="0" fontId="0" fillId="0" borderId="8"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right"/>
    </xf>
    <xf numFmtId="0" fontId="0" fillId="0" borderId="1" xfId="0" applyBorder="1" applyAlignment="1">
      <alignment horizontal="center" vertical="top"/>
    </xf>
    <xf numFmtId="0" fontId="0" fillId="0" borderId="20"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7" borderId="0" xfId="0" applyFill="1" applyAlignment="1"/>
    <xf numFmtId="0" fontId="3" fillId="5"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2:K17"/>
  <sheetViews>
    <sheetView showGridLines="0" workbookViewId="0">
      <selection activeCell="C25" sqref="C25"/>
    </sheetView>
  </sheetViews>
  <sheetFormatPr baseColWidth="10" defaultColWidth="8.83203125" defaultRowHeight="15" x14ac:dyDescent="0.2"/>
  <cols>
    <col min="2" max="2" width="83.6640625" customWidth="1"/>
    <col min="4" max="4" width="5.5" bestFit="1" customWidth="1"/>
  </cols>
  <sheetData>
    <row r="2" spans="2:11" x14ac:dyDescent="0.2">
      <c r="B2" s="62" t="s">
        <v>0</v>
      </c>
      <c r="C2" s="14"/>
      <c r="D2" s="15"/>
    </row>
    <row r="3" spans="2:11" x14ac:dyDescent="0.2">
      <c r="B3" s="70" t="s">
        <v>1</v>
      </c>
      <c r="C3" s="71"/>
      <c r="D3" s="72">
        <v>0.13</v>
      </c>
    </row>
    <row r="4" spans="2:11" x14ac:dyDescent="0.2">
      <c r="B4" s="70" t="s">
        <v>2</v>
      </c>
      <c r="C4" s="71"/>
      <c r="D4" s="72">
        <v>0.17</v>
      </c>
    </row>
    <row r="5" spans="2:11" x14ac:dyDescent="0.2">
      <c r="B5" s="73" t="s">
        <v>156</v>
      </c>
      <c r="C5" s="74"/>
      <c r="D5" s="75">
        <v>0.7</v>
      </c>
    </row>
    <row r="6" spans="2:11" x14ac:dyDescent="0.2">
      <c r="B6" s="63" t="s">
        <v>3</v>
      </c>
      <c r="C6" s="1"/>
      <c r="D6" s="64">
        <f>SUM(D3:D5)</f>
        <v>1</v>
      </c>
    </row>
    <row r="7" spans="2:11" x14ac:dyDescent="0.2">
      <c r="B7" s="3"/>
      <c r="C7" s="3"/>
      <c r="D7" s="4"/>
    </row>
    <row r="8" spans="2:11" x14ac:dyDescent="0.2">
      <c r="B8" s="76" t="s">
        <v>159</v>
      </c>
      <c r="C8" s="14"/>
      <c r="D8" s="14"/>
      <c r="E8" s="14"/>
      <c r="F8" s="14"/>
      <c r="G8" s="14"/>
      <c r="H8" s="14"/>
      <c r="I8" s="14"/>
      <c r="J8" s="14"/>
      <c r="K8" s="15"/>
    </row>
    <row r="9" spans="2:11" x14ac:dyDescent="0.2">
      <c r="B9" s="37" t="s">
        <v>4</v>
      </c>
      <c r="C9" s="11"/>
      <c r="D9" s="11"/>
      <c r="E9" s="11"/>
      <c r="F9" s="11"/>
      <c r="G9" s="11"/>
      <c r="H9" s="11"/>
      <c r="I9" s="11"/>
      <c r="J9" s="11"/>
      <c r="K9" s="26"/>
    </row>
    <row r="10" spans="2:11" x14ac:dyDescent="0.2">
      <c r="B10" s="27" t="s">
        <v>157</v>
      </c>
      <c r="C10" s="9"/>
      <c r="D10" s="9"/>
      <c r="E10" s="9"/>
      <c r="F10" s="9"/>
      <c r="G10" s="9"/>
      <c r="H10" s="9"/>
      <c r="I10" s="9"/>
      <c r="J10" s="9"/>
      <c r="K10" s="24"/>
    </row>
    <row r="11" spans="2:11" x14ac:dyDescent="0.2">
      <c r="B11" s="27" t="s">
        <v>158</v>
      </c>
      <c r="C11" s="9"/>
      <c r="D11" s="9"/>
      <c r="E11" s="9"/>
      <c r="F11" s="9"/>
      <c r="G11" s="9"/>
      <c r="H11" s="9"/>
      <c r="I11" s="9"/>
      <c r="J11" s="9"/>
      <c r="K11" s="24"/>
    </row>
    <row r="12" spans="2:11" x14ac:dyDescent="0.2">
      <c r="B12" s="27"/>
      <c r="C12" s="9"/>
      <c r="D12" s="9"/>
      <c r="E12" s="9"/>
      <c r="F12" s="9"/>
      <c r="G12" s="9"/>
      <c r="H12" s="9"/>
      <c r="I12" s="9"/>
      <c r="J12" s="9"/>
      <c r="K12" s="24"/>
    </row>
    <row r="13" spans="2:11" x14ac:dyDescent="0.2">
      <c r="B13" s="38" t="s">
        <v>155</v>
      </c>
      <c r="C13" s="9"/>
      <c r="D13" s="9"/>
      <c r="E13" s="9"/>
      <c r="F13" s="9"/>
      <c r="G13" s="9"/>
      <c r="H13" s="9"/>
      <c r="I13" s="9"/>
      <c r="J13" s="9"/>
      <c r="K13" s="24"/>
    </row>
    <row r="14" spans="2:11" x14ac:dyDescent="0.2">
      <c r="B14" s="27" t="s">
        <v>180</v>
      </c>
      <c r="C14" s="9"/>
      <c r="D14" s="9"/>
      <c r="E14" s="9"/>
      <c r="F14" s="9"/>
      <c r="G14" s="9"/>
      <c r="H14" s="9"/>
      <c r="I14" s="9"/>
      <c r="J14" s="9"/>
      <c r="K14" s="24"/>
    </row>
    <row r="15" spans="2:11" x14ac:dyDescent="0.2">
      <c r="B15" s="27" t="s">
        <v>161</v>
      </c>
      <c r="C15" s="9"/>
      <c r="D15" s="9"/>
      <c r="E15" s="9"/>
      <c r="F15" s="9"/>
      <c r="G15" s="9"/>
      <c r="H15" s="9"/>
      <c r="I15" s="9"/>
      <c r="J15" s="9"/>
      <c r="K15" s="24"/>
    </row>
    <row r="16" spans="2:11" x14ac:dyDescent="0.2">
      <c r="B16" s="27" t="s">
        <v>181</v>
      </c>
      <c r="C16" s="9"/>
      <c r="D16" s="9"/>
      <c r="E16" s="9"/>
      <c r="F16" s="9"/>
      <c r="G16" s="9"/>
      <c r="H16" s="9"/>
      <c r="I16" s="9"/>
      <c r="J16" s="9"/>
      <c r="K16" s="24"/>
    </row>
    <row r="17" spans="2:11" x14ac:dyDescent="0.2">
      <c r="B17" s="29"/>
      <c r="C17" s="2"/>
      <c r="D17" s="2"/>
      <c r="E17" s="2"/>
      <c r="F17" s="2"/>
      <c r="G17" s="2"/>
      <c r="H17" s="2"/>
      <c r="I17" s="2"/>
      <c r="J17" s="2"/>
      <c r="K17"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2:L158"/>
  <sheetViews>
    <sheetView showGridLines="0" topLeftCell="A119" workbookViewId="0">
      <selection activeCell="C153" sqref="C153"/>
    </sheetView>
  </sheetViews>
  <sheetFormatPr baseColWidth="10" defaultColWidth="8.83203125" defaultRowHeight="15" x14ac:dyDescent="0.2"/>
  <cols>
    <col min="6" max="6" width="9.83203125" customWidth="1"/>
  </cols>
  <sheetData>
    <row r="2" spans="2:12" x14ac:dyDescent="0.2">
      <c r="B2" s="77" t="s">
        <v>175</v>
      </c>
    </row>
    <row r="3" spans="2:12" ht="16" thickBot="1" x14ac:dyDescent="0.25"/>
    <row r="4" spans="2:12" x14ac:dyDescent="0.2">
      <c r="B4" s="5" t="s">
        <v>5</v>
      </c>
      <c r="C4" s="6"/>
      <c r="D4" s="6"/>
      <c r="E4" s="6"/>
      <c r="F4" s="6"/>
      <c r="G4" s="6"/>
      <c r="H4" s="6"/>
      <c r="I4" s="7"/>
    </row>
    <row r="5" spans="2:12" ht="50.25" customHeight="1" x14ac:dyDescent="0.2">
      <c r="B5" s="89" t="s">
        <v>116</v>
      </c>
      <c r="C5" s="90"/>
      <c r="D5" s="90"/>
      <c r="E5" s="90"/>
      <c r="F5" s="90"/>
      <c r="G5" s="90"/>
      <c r="H5" s="90"/>
      <c r="I5" s="91"/>
    </row>
    <row r="6" spans="2:12" x14ac:dyDescent="0.2">
      <c r="B6" s="8" t="s">
        <v>6</v>
      </c>
      <c r="C6" s="65">
        <f>C11</f>
        <v>35000</v>
      </c>
      <c r="D6" s="9"/>
      <c r="E6" s="9"/>
      <c r="F6" s="9"/>
      <c r="G6" s="9"/>
      <c r="H6" s="9"/>
      <c r="I6" s="10"/>
    </row>
    <row r="7" spans="2:12" x14ac:dyDescent="0.2">
      <c r="B7" s="39" t="s">
        <v>125</v>
      </c>
      <c r="C7" s="40">
        <v>200000</v>
      </c>
      <c r="D7" s="40"/>
      <c r="E7" s="40"/>
      <c r="F7" s="40"/>
      <c r="G7" s="40"/>
      <c r="H7" s="40"/>
      <c r="I7" s="41"/>
      <c r="K7" s="25">
        <v>1</v>
      </c>
      <c r="L7" s="66">
        <f>C6</f>
        <v>35000</v>
      </c>
    </row>
    <row r="8" spans="2:12" x14ac:dyDescent="0.2">
      <c r="B8" s="42" t="s">
        <v>126</v>
      </c>
      <c r="C8" s="43">
        <v>115000</v>
      </c>
      <c r="D8" s="43"/>
      <c r="E8" s="43" t="s">
        <v>184</v>
      </c>
      <c r="F8" s="43"/>
      <c r="G8" s="43"/>
      <c r="H8" s="43"/>
      <c r="I8" s="44"/>
      <c r="K8" s="27">
        <v>2</v>
      </c>
      <c r="L8" s="67">
        <f>C15</f>
        <v>45000</v>
      </c>
    </row>
    <row r="9" spans="2:12" x14ac:dyDescent="0.2">
      <c r="B9" s="42" t="s">
        <v>182</v>
      </c>
      <c r="C9" s="43">
        <v>50000</v>
      </c>
      <c r="D9" s="43"/>
      <c r="E9" s="43" t="s">
        <v>185</v>
      </c>
      <c r="F9" s="43"/>
      <c r="G9" s="43"/>
      <c r="H9" s="43"/>
      <c r="I9" s="44"/>
      <c r="K9" s="27">
        <v>3</v>
      </c>
      <c r="L9" s="67">
        <f>C24</f>
        <v>67000</v>
      </c>
    </row>
    <row r="10" spans="2:12" x14ac:dyDescent="0.2">
      <c r="B10" s="42" t="s">
        <v>183</v>
      </c>
      <c r="C10" s="43">
        <f>C7-C8</f>
        <v>85000</v>
      </c>
      <c r="D10" s="43"/>
      <c r="E10" s="43"/>
      <c r="F10" s="43"/>
      <c r="G10" s="43"/>
      <c r="H10" s="43"/>
      <c r="I10" s="44"/>
      <c r="K10" s="27">
        <v>4</v>
      </c>
      <c r="L10" s="67">
        <f>G36</f>
        <v>732000</v>
      </c>
    </row>
    <row r="11" spans="2:12" ht="16" thickBot="1" x14ac:dyDescent="0.25">
      <c r="B11" s="45" t="s">
        <v>128</v>
      </c>
      <c r="C11" s="46">
        <f>C10-C9</f>
        <v>35000</v>
      </c>
      <c r="D11" s="46"/>
      <c r="E11" s="46"/>
      <c r="F11" s="46"/>
      <c r="G11" s="46"/>
      <c r="H11" s="46"/>
      <c r="I11" s="47"/>
      <c r="K11" s="27">
        <v>5</v>
      </c>
      <c r="L11" s="67">
        <f>C42</f>
        <v>892000</v>
      </c>
    </row>
    <row r="12" spans="2:12" ht="16" thickBot="1" x14ac:dyDescent="0.25">
      <c r="B12" s="48"/>
      <c r="C12" s="48"/>
      <c r="D12" s="48"/>
      <c r="E12" s="48"/>
      <c r="F12" s="48"/>
      <c r="G12" s="48"/>
      <c r="H12" s="48"/>
      <c r="I12" s="48"/>
      <c r="K12" s="27">
        <v>6</v>
      </c>
      <c r="L12" s="67">
        <f>C51</f>
        <v>-323000</v>
      </c>
    </row>
    <row r="13" spans="2:12" x14ac:dyDescent="0.2">
      <c r="B13" s="5" t="s">
        <v>7</v>
      </c>
      <c r="C13" s="6"/>
      <c r="D13" s="6"/>
      <c r="E13" s="6"/>
      <c r="F13" s="6"/>
      <c r="G13" s="6"/>
      <c r="H13" s="6"/>
      <c r="I13" s="7"/>
      <c r="K13" s="27">
        <v>7</v>
      </c>
      <c r="L13" s="67">
        <f>C60</f>
        <v>3215000</v>
      </c>
    </row>
    <row r="14" spans="2:12" ht="61.5" customHeight="1" x14ac:dyDescent="0.2">
      <c r="B14" s="89" t="s">
        <v>117</v>
      </c>
      <c r="C14" s="90"/>
      <c r="D14" s="90"/>
      <c r="E14" s="90"/>
      <c r="F14" s="90"/>
      <c r="G14" s="90"/>
      <c r="H14" s="90"/>
      <c r="I14" s="91"/>
      <c r="K14" s="27">
        <v>8</v>
      </c>
      <c r="L14" s="67">
        <f>C70</f>
        <v>1670000</v>
      </c>
    </row>
    <row r="15" spans="2:12" x14ac:dyDescent="0.2">
      <c r="B15" s="12" t="s">
        <v>6</v>
      </c>
      <c r="C15" s="65">
        <f>C18</f>
        <v>45000</v>
      </c>
      <c r="D15" s="9"/>
      <c r="E15" s="9"/>
      <c r="F15" s="9"/>
      <c r="G15" s="9"/>
      <c r="H15" s="9"/>
      <c r="I15" s="10"/>
      <c r="K15" s="27">
        <v>9</v>
      </c>
      <c r="L15" s="67">
        <f>C79</f>
        <v>130000</v>
      </c>
    </row>
    <row r="16" spans="2:12" x14ac:dyDescent="0.2">
      <c r="B16" s="39" t="s">
        <v>125</v>
      </c>
      <c r="C16" s="40">
        <f>9000*15</f>
        <v>135000</v>
      </c>
      <c r="D16" s="40"/>
      <c r="E16" s="40"/>
      <c r="F16" s="40"/>
      <c r="G16" s="40"/>
      <c r="H16" s="40"/>
      <c r="I16" s="41"/>
      <c r="K16" s="27">
        <v>10</v>
      </c>
      <c r="L16" s="67">
        <f>C88</f>
        <v>249500</v>
      </c>
    </row>
    <row r="17" spans="2:12" x14ac:dyDescent="0.2">
      <c r="B17" s="42" t="s">
        <v>126</v>
      </c>
      <c r="C17" s="43">
        <f>10*9000</f>
        <v>90000</v>
      </c>
      <c r="D17" s="43"/>
      <c r="E17" s="43" t="s">
        <v>184</v>
      </c>
      <c r="F17" s="43"/>
      <c r="G17" s="43"/>
      <c r="H17" s="43"/>
      <c r="I17" s="44"/>
      <c r="K17" s="27">
        <v>11</v>
      </c>
      <c r="L17" s="67">
        <f>C97</f>
        <v>410000</v>
      </c>
    </row>
    <row r="18" spans="2:12" x14ac:dyDescent="0.2">
      <c r="B18" s="42" t="s">
        <v>183</v>
      </c>
      <c r="C18" s="43">
        <f>C16-C17</f>
        <v>45000</v>
      </c>
      <c r="D18" s="43"/>
      <c r="E18" s="43"/>
      <c r="F18" s="43"/>
      <c r="G18" s="43"/>
      <c r="H18" s="43"/>
      <c r="I18" s="44"/>
      <c r="K18" s="27">
        <v>12</v>
      </c>
      <c r="L18" s="67">
        <f>C107</f>
        <v>700000</v>
      </c>
    </row>
    <row r="19" spans="2:12" x14ac:dyDescent="0.2">
      <c r="B19" s="42"/>
      <c r="C19" s="43"/>
      <c r="D19" s="43"/>
      <c r="E19" s="43"/>
      <c r="F19" s="43"/>
      <c r="G19" s="43"/>
      <c r="H19" s="43"/>
      <c r="I19" s="44"/>
      <c r="K19" s="27">
        <v>13</v>
      </c>
      <c r="L19" s="67">
        <f>C116</f>
        <v>3200000</v>
      </c>
    </row>
    <row r="20" spans="2:12" ht="16" thickBot="1" x14ac:dyDescent="0.25">
      <c r="B20" s="45"/>
      <c r="C20" s="46"/>
      <c r="D20" s="46"/>
      <c r="E20" s="46"/>
      <c r="F20" s="46"/>
      <c r="G20" s="46"/>
      <c r="H20" s="46"/>
      <c r="I20" s="47"/>
      <c r="K20" s="27">
        <v>14</v>
      </c>
      <c r="L20" s="67">
        <f>C126</f>
        <v>1175000</v>
      </c>
    </row>
    <row r="21" spans="2:12" ht="16" thickBot="1" x14ac:dyDescent="0.25">
      <c r="K21" s="29">
        <v>15</v>
      </c>
      <c r="L21" s="108">
        <f>C135</f>
        <v>525000</v>
      </c>
    </row>
    <row r="22" spans="2:12" x14ac:dyDescent="0.2">
      <c r="B22" s="5" t="s">
        <v>8</v>
      </c>
      <c r="C22" s="6"/>
      <c r="D22" s="6"/>
      <c r="E22" s="6"/>
      <c r="F22" s="6"/>
      <c r="G22" s="6"/>
      <c r="H22" s="6"/>
      <c r="I22" s="7"/>
    </row>
    <row r="23" spans="2:12" ht="60.75" customHeight="1" x14ac:dyDescent="0.2">
      <c r="B23" s="89" t="s">
        <v>9</v>
      </c>
      <c r="C23" s="90"/>
      <c r="D23" s="90"/>
      <c r="E23" s="90"/>
      <c r="F23" s="90"/>
      <c r="G23" s="90"/>
      <c r="H23" s="90"/>
      <c r="I23" s="91"/>
    </row>
    <row r="24" spans="2:12" x14ac:dyDescent="0.2">
      <c r="B24" s="12" t="s">
        <v>6</v>
      </c>
      <c r="C24" s="65">
        <f>F28</f>
        <v>67000</v>
      </c>
      <c r="D24" s="9"/>
      <c r="E24" s="9"/>
      <c r="F24" s="9"/>
      <c r="G24" s="9"/>
      <c r="H24" s="9"/>
      <c r="I24" s="10"/>
    </row>
    <row r="25" spans="2:12" x14ac:dyDescent="0.2">
      <c r="B25" s="39" t="s">
        <v>188</v>
      </c>
      <c r="C25" s="40"/>
      <c r="D25" s="40"/>
      <c r="E25" s="40"/>
      <c r="F25" s="40">
        <v>117000</v>
      </c>
      <c r="G25" s="40"/>
      <c r="H25" s="40"/>
      <c r="I25" s="41"/>
    </row>
    <row r="26" spans="2:12" x14ac:dyDescent="0.2">
      <c r="B26" s="42" t="s">
        <v>189</v>
      </c>
      <c r="C26" s="43"/>
      <c r="D26" s="43"/>
      <c r="E26" s="43"/>
      <c r="F26" s="43">
        <v>-80000</v>
      </c>
      <c r="G26" s="43" t="s">
        <v>186</v>
      </c>
      <c r="H26" s="43"/>
      <c r="I26" s="44"/>
    </row>
    <row r="27" spans="2:12" x14ac:dyDescent="0.2">
      <c r="B27" s="42" t="s">
        <v>187</v>
      </c>
      <c r="C27" s="43"/>
      <c r="D27" s="43"/>
      <c r="E27" s="43"/>
      <c r="F27" s="43">
        <f>60000 - 30000</f>
        <v>30000</v>
      </c>
      <c r="G27" s="43" t="s">
        <v>149</v>
      </c>
      <c r="H27" s="43"/>
      <c r="I27" s="44"/>
    </row>
    <row r="28" spans="2:12" x14ac:dyDescent="0.2">
      <c r="B28" s="42" t="s">
        <v>190</v>
      </c>
      <c r="C28" s="43"/>
      <c r="D28" s="43"/>
      <c r="E28" s="43"/>
      <c r="F28" s="43">
        <f xml:space="preserve"> F25+F26+F27</f>
        <v>67000</v>
      </c>
      <c r="G28" s="43"/>
      <c r="H28" s="43"/>
      <c r="I28" s="44"/>
    </row>
    <row r="29" spans="2:12" ht="16" thickBot="1" x14ac:dyDescent="0.25">
      <c r="B29" s="45"/>
      <c r="C29" s="46"/>
      <c r="D29" s="46"/>
      <c r="E29" s="46"/>
      <c r="F29" s="46"/>
      <c r="G29" s="46"/>
      <c r="H29" s="46"/>
      <c r="I29" s="47"/>
    </row>
    <row r="30" spans="2:12" ht="16" thickBot="1" x14ac:dyDescent="0.25"/>
    <row r="31" spans="2:12" x14ac:dyDescent="0.2">
      <c r="B31" s="5" t="s">
        <v>10</v>
      </c>
      <c r="C31" s="6"/>
      <c r="D31" s="6"/>
      <c r="E31" s="6"/>
      <c r="F31" s="6"/>
      <c r="G31" s="6"/>
      <c r="H31" s="6"/>
      <c r="I31" s="7"/>
    </row>
    <row r="32" spans="2:12" ht="87" customHeight="1" x14ac:dyDescent="0.2">
      <c r="B32" s="89" t="s">
        <v>11</v>
      </c>
      <c r="C32" s="90"/>
      <c r="D32" s="90"/>
      <c r="E32" s="90"/>
      <c r="F32" s="90"/>
      <c r="G32" s="90"/>
      <c r="H32" s="90"/>
      <c r="I32" s="91"/>
    </row>
    <row r="33" spans="2:9" x14ac:dyDescent="0.2">
      <c r="B33" s="12" t="s">
        <v>6</v>
      </c>
      <c r="C33" s="65">
        <f>G36</f>
        <v>732000</v>
      </c>
      <c r="D33" s="9"/>
      <c r="E33" s="9"/>
      <c r="F33" s="9"/>
      <c r="G33" s="9"/>
      <c r="H33" s="9"/>
      <c r="I33" s="10"/>
    </row>
    <row r="34" spans="2:9" x14ac:dyDescent="0.2">
      <c r="B34" s="39" t="s">
        <v>183</v>
      </c>
      <c r="C34" s="40"/>
      <c r="D34" s="40">
        <v>2000000</v>
      </c>
      <c r="E34" s="40"/>
      <c r="F34" s="40"/>
      <c r="G34" s="40"/>
      <c r="H34" s="40"/>
      <c r="I34" s="41"/>
    </row>
    <row r="35" spans="2:9" x14ac:dyDescent="0.2">
      <c r="B35" s="42" t="s">
        <v>182</v>
      </c>
      <c r="C35" s="43"/>
      <c r="D35" s="43">
        <f>500000+15000*12</f>
        <v>680000</v>
      </c>
      <c r="E35" s="43"/>
      <c r="F35" s="43"/>
      <c r="G35" s="43"/>
      <c r="H35" s="43"/>
      <c r="I35" s="44"/>
    </row>
    <row r="36" spans="2:9" x14ac:dyDescent="0.2">
      <c r="B36" s="42" t="s">
        <v>130</v>
      </c>
      <c r="C36" s="43"/>
      <c r="D36" s="43">
        <f xml:space="preserve"> 1000000*0.1</f>
        <v>100000</v>
      </c>
      <c r="E36" s="43"/>
      <c r="F36" s="43" t="s">
        <v>142</v>
      </c>
      <c r="G36" s="43">
        <f>D37-D38</f>
        <v>732000</v>
      </c>
      <c r="H36" s="43"/>
      <c r="I36" s="44"/>
    </row>
    <row r="37" spans="2:9" x14ac:dyDescent="0.2">
      <c r="B37" s="42" t="s">
        <v>131</v>
      </c>
      <c r="C37" s="43"/>
      <c r="D37" s="43">
        <f>D34-D35-D36</f>
        <v>1220000</v>
      </c>
      <c r="E37" s="43"/>
      <c r="F37" s="43"/>
      <c r="G37" s="43"/>
      <c r="H37" s="43"/>
      <c r="I37" s="44"/>
    </row>
    <row r="38" spans="2:9" ht="16" thickBot="1" x14ac:dyDescent="0.25">
      <c r="B38" s="45" t="s">
        <v>191</v>
      </c>
      <c r="C38" s="46"/>
      <c r="D38" s="46">
        <f>D37*0.4</f>
        <v>488000</v>
      </c>
      <c r="E38" s="46"/>
      <c r="F38" s="46"/>
      <c r="G38" s="46"/>
      <c r="H38" s="46"/>
      <c r="I38" s="47"/>
    </row>
    <row r="39" spans="2:9" ht="16" thickBot="1" x14ac:dyDescent="0.25"/>
    <row r="40" spans="2:9" x14ac:dyDescent="0.2">
      <c r="B40" s="5" t="s">
        <v>12</v>
      </c>
      <c r="C40" s="6"/>
      <c r="D40" s="6"/>
      <c r="E40" s="6"/>
      <c r="F40" s="6"/>
      <c r="G40" s="6"/>
      <c r="H40" s="6"/>
      <c r="I40" s="7"/>
    </row>
    <row r="41" spans="2:9" ht="156" customHeight="1" x14ac:dyDescent="0.2">
      <c r="B41" s="89" t="s">
        <v>118</v>
      </c>
      <c r="C41" s="90"/>
      <c r="D41" s="90"/>
      <c r="E41" s="90"/>
      <c r="F41" s="90"/>
      <c r="G41" s="90"/>
      <c r="H41" s="90"/>
      <c r="I41" s="91"/>
    </row>
    <row r="42" spans="2:9" x14ac:dyDescent="0.2">
      <c r="B42" s="12" t="s">
        <v>6</v>
      </c>
      <c r="C42" s="65">
        <f>E47</f>
        <v>892000</v>
      </c>
      <c r="D42" s="9"/>
      <c r="E42" s="9"/>
      <c r="F42" s="9"/>
      <c r="G42" s="9"/>
      <c r="H42" s="9"/>
      <c r="I42" s="10"/>
    </row>
    <row r="43" spans="2:9" x14ac:dyDescent="0.2">
      <c r="B43" s="39" t="s">
        <v>193</v>
      </c>
      <c r="D43" s="40"/>
      <c r="E43" s="40">
        <v>40000</v>
      </c>
      <c r="F43" s="40"/>
      <c r="G43" s="40"/>
      <c r="H43" s="40"/>
      <c r="I43" s="41"/>
    </row>
    <row r="44" spans="2:9" x14ac:dyDescent="0.2">
      <c r="B44" s="42" t="s">
        <v>91</v>
      </c>
      <c r="C44" s="43"/>
      <c r="D44" s="43"/>
      <c r="E44" s="43">
        <v>400000</v>
      </c>
      <c r="F44" s="43"/>
      <c r="G44" s="43"/>
      <c r="H44" s="43"/>
      <c r="I44" s="44"/>
    </row>
    <row r="45" spans="2:9" x14ac:dyDescent="0.2">
      <c r="B45" s="42" t="s">
        <v>93</v>
      </c>
      <c r="C45" s="43"/>
      <c r="D45" s="43"/>
      <c r="E45" s="43">
        <v>437000</v>
      </c>
      <c r="F45" s="43"/>
      <c r="G45" s="43"/>
      <c r="H45" s="43"/>
      <c r="I45" s="44"/>
    </row>
    <row r="46" spans="2:9" x14ac:dyDescent="0.2">
      <c r="B46" s="42" t="s">
        <v>95</v>
      </c>
      <c r="C46" s="43"/>
      <c r="D46" s="43"/>
      <c r="E46" s="43">
        <v>15000</v>
      </c>
      <c r="F46" s="43"/>
      <c r="G46" s="43"/>
      <c r="H46" s="43"/>
      <c r="I46" s="44"/>
    </row>
    <row r="47" spans="2:9" ht="16" thickBot="1" x14ac:dyDescent="0.25">
      <c r="B47" s="45" t="s">
        <v>194</v>
      </c>
      <c r="C47" s="46"/>
      <c r="D47" s="46"/>
      <c r="E47" s="46">
        <f>E43+E44+E45+E46</f>
        <v>892000</v>
      </c>
      <c r="F47" s="46"/>
      <c r="G47" s="46"/>
      <c r="H47" s="46"/>
      <c r="I47" s="47"/>
    </row>
    <row r="48" spans="2:9" ht="16" thickBot="1" x14ac:dyDescent="0.25"/>
    <row r="49" spans="2:9" x14ac:dyDescent="0.2">
      <c r="B49" s="5" t="s">
        <v>13</v>
      </c>
      <c r="C49" s="6"/>
      <c r="D49" s="6"/>
      <c r="E49" s="6"/>
      <c r="F49" s="6"/>
      <c r="G49" s="6"/>
      <c r="H49" s="6"/>
      <c r="I49" s="7"/>
    </row>
    <row r="50" spans="2:9" x14ac:dyDescent="0.2">
      <c r="B50" s="89" t="s">
        <v>14</v>
      </c>
      <c r="C50" s="90"/>
      <c r="D50" s="90"/>
      <c r="E50" s="90"/>
      <c r="F50" s="90"/>
      <c r="G50" s="90"/>
      <c r="H50" s="90"/>
      <c r="I50" s="91"/>
    </row>
    <row r="51" spans="2:9" x14ac:dyDescent="0.2">
      <c r="B51" s="12" t="s">
        <v>6</v>
      </c>
      <c r="C51" s="65">
        <f>I56</f>
        <v>-323000</v>
      </c>
      <c r="D51" s="9"/>
      <c r="E51" s="9"/>
      <c r="F51" s="9"/>
      <c r="G51" s="9"/>
      <c r="H51" s="9"/>
      <c r="I51" s="10"/>
    </row>
    <row r="52" spans="2:9" x14ac:dyDescent="0.2">
      <c r="B52" s="39" t="s">
        <v>195</v>
      </c>
      <c r="C52" s="40"/>
      <c r="D52" s="40"/>
      <c r="E52" s="40"/>
      <c r="F52" s="40"/>
      <c r="G52" s="40"/>
      <c r="H52" s="40"/>
      <c r="I52" s="41"/>
    </row>
    <row r="53" spans="2:9" x14ac:dyDescent="0.2">
      <c r="B53" s="42" t="s">
        <v>90</v>
      </c>
      <c r="C53" s="43"/>
      <c r="D53" s="43"/>
      <c r="E53" s="43">
        <v>300000</v>
      </c>
      <c r="F53" s="43"/>
      <c r="G53" s="43"/>
      <c r="H53" s="43"/>
      <c r="I53" s="44"/>
    </row>
    <row r="54" spans="2:9" x14ac:dyDescent="0.2">
      <c r="B54" s="42" t="s">
        <v>196</v>
      </c>
      <c r="C54" s="43"/>
      <c r="D54" s="43"/>
      <c r="E54" s="43">
        <v>115000</v>
      </c>
      <c r="F54" s="43"/>
      <c r="G54" s="43"/>
      <c r="H54" s="43"/>
      <c r="I54" s="44"/>
    </row>
    <row r="55" spans="2:9" x14ac:dyDescent="0.2">
      <c r="B55" s="42" t="s">
        <v>197</v>
      </c>
      <c r="C55" s="43"/>
      <c r="D55" s="43"/>
      <c r="E55" s="43">
        <v>800000</v>
      </c>
      <c r="F55" s="43"/>
      <c r="G55" s="43"/>
      <c r="H55" s="43"/>
      <c r="I55" s="44"/>
    </row>
    <row r="56" spans="2:9" ht="16" thickBot="1" x14ac:dyDescent="0.25">
      <c r="B56" s="45" t="s">
        <v>198</v>
      </c>
      <c r="C56" s="46"/>
      <c r="D56" s="46"/>
      <c r="E56" s="46">
        <f>E53+E54+E55</f>
        <v>1215000</v>
      </c>
      <c r="F56" s="46"/>
      <c r="G56" s="107" t="s">
        <v>199</v>
      </c>
      <c r="H56" s="46"/>
      <c r="I56" s="47">
        <f>E47-E56</f>
        <v>-323000</v>
      </c>
    </row>
    <row r="57" spans="2:9" ht="16" thickBot="1" x14ac:dyDescent="0.25"/>
    <row r="58" spans="2:9" x14ac:dyDescent="0.2">
      <c r="B58" s="5" t="s">
        <v>15</v>
      </c>
      <c r="C58" s="6"/>
      <c r="D58" s="6"/>
      <c r="E58" s="6"/>
      <c r="F58" s="6"/>
      <c r="G58" s="6"/>
      <c r="H58" s="6"/>
      <c r="I58" s="7"/>
    </row>
    <row r="59" spans="2:9" x14ac:dyDescent="0.2">
      <c r="B59" s="89" t="s">
        <v>16</v>
      </c>
      <c r="C59" s="90"/>
      <c r="D59" s="90"/>
      <c r="E59" s="90"/>
      <c r="F59" s="90"/>
      <c r="G59" s="90"/>
      <c r="H59" s="90"/>
      <c r="I59" s="91"/>
    </row>
    <row r="60" spans="2:9" x14ac:dyDescent="0.2">
      <c r="B60" s="12" t="s">
        <v>6</v>
      </c>
      <c r="C60" s="65">
        <f>E63</f>
        <v>3215000</v>
      </c>
      <c r="D60" s="9"/>
      <c r="E60" s="9"/>
      <c r="F60" s="9"/>
      <c r="G60" s="9"/>
      <c r="H60" s="9"/>
      <c r="I60" s="10"/>
    </row>
    <row r="61" spans="2:9" x14ac:dyDescent="0.2">
      <c r="B61" s="39" t="s">
        <v>198</v>
      </c>
      <c r="C61" s="40"/>
      <c r="D61" s="40"/>
      <c r="E61" s="40">
        <f>E56</f>
        <v>1215000</v>
      </c>
      <c r="F61" s="40"/>
      <c r="G61" s="40"/>
      <c r="H61" s="40"/>
      <c r="I61" s="41"/>
    </row>
    <row r="62" spans="2:9" x14ac:dyDescent="0.2">
      <c r="B62" s="42" t="s">
        <v>200</v>
      </c>
      <c r="C62" s="43"/>
      <c r="D62" s="43"/>
      <c r="E62" s="43">
        <v>2000000</v>
      </c>
      <c r="F62" s="43"/>
      <c r="G62" s="43"/>
      <c r="H62" s="43"/>
      <c r="I62" s="44"/>
    </row>
    <row r="63" spans="2:9" x14ac:dyDescent="0.2">
      <c r="B63" s="42" t="s">
        <v>201</v>
      </c>
      <c r="C63" s="43"/>
      <c r="D63" s="43"/>
      <c r="E63" s="43">
        <f>E61+E62</f>
        <v>3215000</v>
      </c>
      <c r="F63" s="43"/>
      <c r="G63" s="43"/>
      <c r="H63" s="43"/>
      <c r="I63" s="44"/>
    </row>
    <row r="64" spans="2:9" x14ac:dyDescent="0.2">
      <c r="B64" s="42"/>
      <c r="C64" s="43"/>
      <c r="D64" s="43"/>
      <c r="E64" s="43"/>
      <c r="F64" s="43"/>
      <c r="G64" s="43"/>
      <c r="H64" s="43"/>
      <c r="I64" s="44"/>
    </row>
    <row r="65" spans="2:9" ht="16" thickBot="1" x14ac:dyDescent="0.25">
      <c r="B65" s="45"/>
      <c r="C65" s="46"/>
      <c r="D65" s="46"/>
      <c r="E65" s="46"/>
      <c r="F65" s="46"/>
      <c r="G65" s="46"/>
      <c r="H65" s="46"/>
      <c r="I65" s="47"/>
    </row>
    <row r="67" spans="2:9" ht="16" thickBot="1" x14ac:dyDescent="0.25"/>
    <row r="68" spans="2:9" x14ac:dyDescent="0.2">
      <c r="B68" s="5" t="s">
        <v>17</v>
      </c>
      <c r="C68" s="6"/>
      <c r="D68" s="6"/>
      <c r="E68" s="6"/>
      <c r="F68" s="6"/>
      <c r="G68" s="6"/>
      <c r="H68" s="6"/>
      <c r="I68" s="7"/>
    </row>
    <row r="69" spans="2:9" ht="66" customHeight="1" x14ac:dyDescent="0.2">
      <c r="B69" s="89" t="s">
        <v>19</v>
      </c>
      <c r="C69" s="90"/>
      <c r="D69" s="90"/>
      <c r="E69" s="90"/>
      <c r="F69" s="90"/>
      <c r="G69" s="90"/>
      <c r="H69" s="90"/>
      <c r="I69" s="91"/>
    </row>
    <row r="70" spans="2:9" x14ac:dyDescent="0.2">
      <c r="B70" s="12" t="s">
        <v>6</v>
      </c>
      <c r="C70" s="65">
        <f>F73</f>
        <v>1670000</v>
      </c>
      <c r="D70" s="9"/>
      <c r="E70" s="9"/>
      <c r="F70" s="9"/>
      <c r="G70" s="9"/>
      <c r="H70" s="9"/>
      <c r="I70" s="10"/>
    </row>
    <row r="71" spans="2:9" x14ac:dyDescent="0.2">
      <c r="B71" s="39" t="s">
        <v>203</v>
      </c>
      <c r="C71" s="40"/>
      <c r="D71" s="40"/>
      <c r="E71" s="40"/>
      <c r="F71" s="40">
        <v>1550000</v>
      </c>
      <c r="G71" s="40"/>
      <c r="H71" s="40"/>
      <c r="I71" s="41"/>
    </row>
    <row r="72" spans="2:9" x14ac:dyDescent="0.2">
      <c r="B72" s="42" t="s">
        <v>192</v>
      </c>
      <c r="C72" s="43"/>
      <c r="D72" s="43"/>
      <c r="F72" s="43">
        <v>200000</v>
      </c>
      <c r="G72" s="43"/>
      <c r="H72" s="43"/>
      <c r="I72" s="44"/>
    </row>
    <row r="73" spans="2:9" x14ac:dyDescent="0.2">
      <c r="B73" s="42" t="s">
        <v>204</v>
      </c>
      <c r="C73" s="43"/>
      <c r="D73" s="43"/>
      <c r="E73" s="43"/>
      <c r="F73" s="43">
        <f>F71+F72*0.6</f>
        <v>1670000</v>
      </c>
      <c r="G73" s="43"/>
      <c r="H73" s="43"/>
      <c r="I73" s="44"/>
    </row>
    <row r="74" spans="2:9" x14ac:dyDescent="0.2">
      <c r="B74" s="42"/>
      <c r="C74" s="43"/>
      <c r="D74" s="43"/>
      <c r="E74" s="43"/>
      <c r="F74" s="43"/>
      <c r="G74" s="43"/>
      <c r="H74" s="43"/>
      <c r="I74" s="44"/>
    </row>
    <row r="75" spans="2:9" ht="16" thickBot="1" x14ac:dyDescent="0.25">
      <c r="B75" s="45"/>
      <c r="C75" s="46"/>
      <c r="D75" s="46"/>
      <c r="E75" s="46"/>
      <c r="F75" s="46"/>
      <c r="G75" s="46"/>
      <c r="H75" s="46"/>
      <c r="I75" s="47"/>
    </row>
    <row r="76" spans="2:9" ht="16" thickBot="1" x14ac:dyDescent="0.25"/>
    <row r="77" spans="2:9" x14ac:dyDescent="0.2">
      <c r="B77" s="5" t="s">
        <v>18</v>
      </c>
      <c r="C77" s="6"/>
      <c r="D77" s="6"/>
      <c r="E77" s="6"/>
      <c r="F77" s="6"/>
      <c r="G77" s="6"/>
      <c r="H77" s="6"/>
      <c r="I77" s="7"/>
    </row>
    <row r="78" spans="2:9" ht="135.75" customHeight="1" x14ac:dyDescent="0.2">
      <c r="B78" s="89" t="s">
        <v>119</v>
      </c>
      <c r="C78" s="90"/>
      <c r="D78" s="90"/>
      <c r="E78" s="90"/>
      <c r="F78" s="90"/>
      <c r="G78" s="90"/>
      <c r="H78" s="90"/>
      <c r="I78" s="91"/>
    </row>
    <row r="79" spans="2:9" x14ac:dyDescent="0.2">
      <c r="B79" s="12" t="s">
        <v>6</v>
      </c>
      <c r="C79" s="65">
        <f>F83</f>
        <v>130000</v>
      </c>
      <c r="D79" s="9"/>
      <c r="E79" s="9"/>
      <c r="F79" s="9"/>
      <c r="G79" s="9"/>
      <c r="H79" s="9"/>
      <c r="I79" s="10"/>
    </row>
    <row r="80" spans="2:9" x14ac:dyDescent="0.2">
      <c r="B80" s="39" t="s">
        <v>151</v>
      </c>
      <c r="C80" s="40">
        <v>460000</v>
      </c>
      <c r="D80" s="40"/>
      <c r="E80" s="40" t="s">
        <v>207</v>
      </c>
      <c r="F80" s="40"/>
      <c r="G80" s="40"/>
      <c r="H80" s="40"/>
      <c r="I80" s="41"/>
    </row>
    <row r="81" spans="2:9" x14ac:dyDescent="0.2">
      <c r="B81" s="42" t="s">
        <v>192</v>
      </c>
      <c r="C81" s="43">
        <v>500000</v>
      </c>
      <c r="D81" s="43"/>
      <c r="E81" s="43" t="s">
        <v>208</v>
      </c>
      <c r="F81" s="43">
        <f>C81+C82-C83</f>
        <v>590000</v>
      </c>
      <c r="G81" s="43"/>
      <c r="H81" s="43"/>
      <c r="I81" s="44"/>
    </row>
    <row r="82" spans="2:9" x14ac:dyDescent="0.2">
      <c r="B82" s="42" t="s">
        <v>205</v>
      </c>
      <c r="C82" s="43">
        <v>10000</v>
      </c>
      <c r="D82" s="43"/>
      <c r="E82" s="43" t="s">
        <v>209</v>
      </c>
      <c r="F82" s="43">
        <f>C80-F81</f>
        <v>-130000</v>
      </c>
      <c r="G82" s="43"/>
      <c r="H82" s="43"/>
      <c r="I82" s="44"/>
    </row>
    <row r="83" spans="2:9" x14ac:dyDescent="0.2">
      <c r="B83" s="42" t="s">
        <v>206</v>
      </c>
      <c r="C83" s="43">
        <v>-80000</v>
      </c>
      <c r="D83" s="43"/>
      <c r="E83" s="43" t="s">
        <v>210</v>
      </c>
      <c r="F83" s="43">
        <f xml:space="preserve"> -F82</f>
        <v>130000</v>
      </c>
      <c r="G83" s="43"/>
      <c r="H83" s="43"/>
      <c r="I83" s="44"/>
    </row>
    <row r="84" spans="2:9" ht="16" thickBot="1" x14ac:dyDescent="0.25">
      <c r="B84" s="45"/>
      <c r="C84" s="46"/>
      <c r="D84" s="46"/>
      <c r="E84" s="46"/>
      <c r="F84" s="46"/>
      <c r="G84" s="46"/>
      <c r="H84" s="46"/>
      <c r="I84" s="47"/>
    </row>
    <row r="85" spans="2:9" ht="16" thickBot="1" x14ac:dyDescent="0.25"/>
    <row r="86" spans="2:9" x14ac:dyDescent="0.2">
      <c r="B86" s="5" t="s">
        <v>20</v>
      </c>
      <c r="C86" s="6"/>
      <c r="D86" s="6"/>
      <c r="E86" s="6"/>
      <c r="F86" s="6"/>
      <c r="G86" s="6"/>
      <c r="H86" s="6"/>
      <c r="I86" s="7"/>
    </row>
    <row r="87" spans="2:9" ht="103.5" customHeight="1" x14ac:dyDescent="0.2">
      <c r="B87" s="89" t="s">
        <v>22</v>
      </c>
      <c r="C87" s="90"/>
      <c r="D87" s="90"/>
      <c r="E87" s="90"/>
      <c r="F87" s="90"/>
      <c r="G87" s="90"/>
      <c r="H87" s="90"/>
      <c r="I87" s="91"/>
    </row>
    <row r="88" spans="2:9" x14ac:dyDescent="0.2">
      <c r="B88" s="12" t="s">
        <v>6</v>
      </c>
      <c r="C88" s="65">
        <f>C92</f>
        <v>249500</v>
      </c>
      <c r="D88" s="9"/>
      <c r="E88" s="9"/>
      <c r="F88" s="9"/>
      <c r="G88" s="9"/>
      <c r="H88" s="9"/>
      <c r="I88" s="10"/>
    </row>
    <row r="89" spans="2:9" x14ac:dyDescent="0.2">
      <c r="B89" s="39" t="s">
        <v>212</v>
      </c>
      <c r="C89" s="40">
        <f>(100000-100000*0.4)/5</f>
        <v>12000</v>
      </c>
      <c r="D89" s="40"/>
      <c r="E89" s="40"/>
      <c r="F89" s="40"/>
      <c r="G89" s="40"/>
      <c r="H89" s="40"/>
      <c r="I89" s="41"/>
    </row>
    <row r="90" spans="2:9" x14ac:dyDescent="0.2">
      <c r="B90" s="42" t="s">
        <v>213</v>
      </c>
      <c r="C90" s="43">
        <f>(500000-500000*0.1)/3</f>
        <v>150000</v>
      </c>
      <c r="D90" s="43"/>
      <c r="E90" s="43"/>
      <c r="F90" s="43"/>
      <c r="G90" s="43"/>
      <c r="H90" s="43"/>
      <c r="I90" s="44"/>
    </row>
    <row r="91" spans="2:9" x14ac:dyDescent="0.2">
      <c r="B91" s="42" t="s">
        <v>214</v>
      </c>
      <c r="C91" s="43">
        <f>(350000-350000*0.5)/2</f>
        <v>87500</v>
      </c>
      <c r="D91" s="43"/>
      <c r="E91" s="43"/>
      <c r="F91" s="43"/>
      <c r="G91" s="43"/>
      <c r="H91" s="43"/>
      <c r="I91" s="44"/>
    </row>
    <row r="92" spans="2:9" x14ac:dyDescent="0.2">
      <c r="B92" s="42" t="s">
        <v>211</v>
      </c>
      <c r="C92" s="43">
        <f>C89+C90+C91</f>
        <v>249500</v>
      </c>
      <c r="D92" s="43"/>
      <c r="E92" s="43"/>
      <c r="F92" s="43"/>
      <c r="G92" s="43"/>
      <c r="H92" s="43"/>
      <c r="I92" s="44"/>
    </row>
    <row r="93" spans="2:9" ht="16" thickBot="1" x14ac:dyDescent="0.25">
      <c r="B93" s="45"/>
      <c r="C93" s="46" t="s">
        <v>231</v>
      </c>
      <c r="D93" s="46"/>
      <c r="E93" s="46"/>
      <c r="F93" s="46"/>
      <c r="G93" s="46"/>
      <c r="H93" s="46"/>
      <c r="I93" s="47"/>
    </row>
    <row r="94" spans="2:9" ht="16" thickBot="1" x14ac:dyDescent="0.25"/>
    <row r="95" spans="2:9" x14ac:dyDescent="0.2">
      <c r="B95" s="5" t="s">
        <v>21</v>
      </c>
      <c r="C95" s="6"/>
      <c r="D95" s="6"/>
      <c r="E95" s="6"/>
      <c r="F95" s="6"/>
      <c r="G95" s="6"/>
      <c r="H95" s="6"/>
      <c r="I95" s="7"/>
    </row>
    <row r="96" spans="2:9" ht="54" customHeight="1" x14ac:dyDescent="0.2">
      <c r="B96" s="89" t="s">
        <v>24</v>
      </c>
      <c r="C96" s="90"/>
      <c r="D96" s="90"/>
      <c r="E96" s="90"/>
      <c r="F96" s="90"/>
      <c r="G96" s="90"/>
      <c r="H96" s="90"/>
      <c r="I96" s="91"/>
    </row>
    <row r="97" spans="2:9" x14ac:dyDescent="0.2">
      <c r="B97" s="12" t="s">
        <v>6</v>
      </c>
      <c r="C97" s="65">
        <v>410000</v>
      </c>
      <c r="D97" s="9"/>
      <c r="E97" s="9"/>
      <c r="F97" s="9"/>
      <c r="G97" s="9"/>
      <c r="H97" s="9"/>
      <c r="I97" s="10"/>
    </row>
    <row r="98" spans="2:9" x14ac:dyDescent="0.2">
      <c r="B98" s="39"/>
      <c r="C98" s="40"/>
      <c r="D98" s="40"/>
      <c r="E98" s="40"/>
      <c r="F98" s="40"/>
      <c r="G98" s="40"/>
      <c r="H98" s="40"/>
      <c r="I98" s="41"/>
    </row>
    <row r="99" spans="2:9" x14ac:dyDescent="0.2">
      <c r="B99" s="42" t="s">
        <v>215</v>
      </c>
      <c r="C99" s="43"/>
      <c r="D99" s="43"/>
      <c r="E99" s="43" t="s">
        <v>216</v>
      </c>
      <c r="F99" s="43">
        <f>C101-C100</f>
        <v>410000</v>
      </c>
      <c r="G99" s="43"/>
      <c r="H99" s="43"/>
      <c r="I99" s="44"/>
    </row>
    <row r="100" spans="2:9" x14ac:dyDescent="0.2">
      <c r="B100" s="42" t="s">
        <v>133</v>
      </c>
      <c r="C100" s="43">
        <v>0</v>
      </c>
      <c r="D100" s="43"/>
      <c r="E100" s="43"/>
      <c r="F100" s="43"/>
      <c r="G100" s="43"/>
      <c r="H100" s="43"/>
      <c r="I100" s="44"/>
    </row>
    <row r="101" spans="2:9" x14ac:dyDescent="0.2">
      <c r="B101" s="42" t="s">
        <v>192</v>
      </c>
      <c r="C101" s="43">
        <v>410000</v>
      </c>
      <c r="D101" s="43"/>
      <c r="E101" s="43"/>
      <c r="F101" s="43"/>
      <c r="G101" s="43"/>
      <c r="H101" s="43"/>
      <c r="I101" s="44"/>
    </row>
    <row r="102" spans="2:9" ht="16" thickBot="1" x14ac:dyDescent="0.25">
      <c r="B102" s="45"/>
      <c r="C102" s="46"/>
      <c r="D102" s="46"/>
      <c r="E102" s="46"/>
      <c r="F102" s="46"/>
      <c r="G102" s="46"/>
      <c r="H102" s="46"/>
      <c r="I102" s="47"/>
    </row>
    <row r="104" spans="2:9" ht="16" thickBot="1" x14ac:dyDescent="0.25"/>
    <row r="105" spans="2:9" x14ac:dyDescent="0.2">
      <c r="B105" s="5" t="s">
        <v>23</v>
      </c>
      <c r="C105" s="6"/>
      <c r="D105" s="6"/>
      <c r="E105" s="6"/>
      <c r="F105" s="6"/>
      <c r="G105" s="6"/>
      <c r="H105" s="6"/>
      <c r="I105" s="109"/>
    </row>
    <row r="106" spans="2:9" ht="99" customHeight="1" x14ac:dyDescent="0.2">
      <c r="B106" s="89" t="s">
        <v>27</v>
      </c>
      <c r="C106" s="90"/>
      <c r="D106" s="90"/>
      <c r="E106" s="90"/>
      <c r="F106" s="90"/>
      <c r="G106" s="90"/>
      <c r="H106" s="90"/>
      <c r="I106" s="91"/>
    </row>
    <row r="107" spans="2:9" x14ac:dyDescent="0.2">
      <c r="B107" s="12" t="s">
        <v>6</v>
      </c>
      <c r="C107" s="65">
        <f>G110</f>
        <v>700000</v>
      </c>
      <c r="D107" s="9"/>
      <c r="E107" s="9"/>
      <c r="F107" s="9"/>
      <c r="G107" s="9"/>
      <c r="H107" s="9"/>
      <c r="I107" s="10"/>
    </row>
    <row r="108" spans="2:9" x14ac:dyDescent="0.2">
      <c r="B108" s="39" t="s">
        <v>217</v>
      </c>
      <c r="D108" s="40">
        <v>500000</v>
      </c>
      <c r="E108" s="40"/>
      <c r="F108" s="40"/>
      <c r="G108" s="40"/>
      <c r="H108" s="40"/>
      <c r="I108" s="41"/>
    </row>
    <row r="109" spans="2:9" x14ac:dyDescent="0.2">
      <c r="B109" s="42" t="s">
        <v>205</v>
      </c>
      <c r="D109" s="43">
        <f>1000000/10</f>
        <v>100000</v>
      </c>
      <c r="E109" s="43"/>
      <c r="F109" s="43"/>
      <c r="G109" s="43"/>
      <c r="H109" s="43"/>
      <c r="I109" s="44"/>
    </row>
    <row r="110" spans="2:9" x14ac:dyDescent="0.2">
      <c r="B110" s="42" t="s">
        <v>130</v>
      </c>
      <c r="D110" s="43">
        <f>1000000*0.05</f>
        <v>50000</v>
      </c>
      <c r="E110" s="43"/>
      <c r="F110" s="43" t="s">
        <v>219</v>
      </c>
      <c r="G110" s="43">
        <f xml:space="preserve"> D112+D109+D111</f>
        <v>700000</v>
      </c>
      <c r="H110" s="43"/>
      <c r="I110" s="44"/>
    </row>
    <row r="111" spans="2:9" x14ac:dyDescent="0.2">
      <c r="B111" s="42" t="s">
        <v>218</v>
      </c>
      <c r="D111" s="43">
        <v>250000</v>
      </c>
      <c r="E111" s="43"/>
      <c r="F111" s="43"/>
      <c r="G111" s="43"/>
      <c r="H111" s="43"/>
      <c r="I111" s="44"/>
    </row>
    <row r="112" spans="2:9" ht="16" thickBot="1" x14ac:dyDescent="0.25">
      <c r="B112" s="45" t="s">
        <v>192</v>
      </c>
      <c r="C112" s="46"/>
      <c r="D112" s="46">
        <f>D108-D109-D110</f>
        <v>350000</v>
      </c>
      <c r="E112" s="46"/>
      <c r="F112" s="46"/>
      <c r="G112" s="46"/>
      <c r="H112" s="46"/>
      <c r="I112" s="47"/>
    </row>
    <row r="113" spans="2:9" ht="16" thickBot="1" x14ac:dyDescent="0.25"/>
    <row r="114" spans="2:9" x14ac:dyDescent="0.2">
      <c r="B114" s="5" t="s">
        <v>25</v>
      </c>
      <c r="C114" s="6"/>
      <c r="D114" s="6"/>
      <c r="E114" s="6"/>
      <c r="F114" s="6"/>
      <c r="G114" s="6"/>
      <c r="H114" s="6"/>
      <c r="I114" s="7"/>
    </row>
    <row r="115" spans="2:9" ht="57" customHeight="1" x14ac:dyDescent="0.2">
      <c r="B115" s="89" t="s">
        <v>29</v>
      </c>
      <c r="C115" s="90"/>
      <c r="D115" s="90"/>
      <c r="E115" s="90"/>
      <c r="F115" s="90"/>
      <c r="G115" s="90"/>
      <c r="H115" s="90"/>
      <c r="I115" s="91"/>
    </row>
    <row r="116" spans="2:9" x14ac:dyDescent="0.2">
      <c r="B116" s="12" t="s">
        <v>6</v>
      </c>
      <c r="C116" s="65">
        <f>E119</f>
        <v>3200000</v>
      </c>
      <c r="D116" s="9"/>
      <c r="E116" s="9"/>
      <c r="F116" s="9"/>
      <c r="G116" s="9"/>
      <c r="H116" s="9"/>
      <c r="I116" s="10"/>
    </row>
    <row r="117" spans="2:9" x14ac:dyDescent="0.2">
      <c r="B117" s="39" t="s">
        <v>198</v>
      </c>
      <c r="D117" s="40">
        <v>1200000</v>
      </c>
      <c r="E117" s="40"/>
      <c r="F117" s="40"/>
      <c r="G117" s="40"/>
      <c r="H117" s="40"/>
      <c r="I117" s="41"/>
    </row>
    <row r="118" spans="2:9" x14ac:dyDescent="0.2">
      <c r="B118" s="42" t="s">
        <v>221</v>
      </c>
      <c r="D118" s="43">
        <v>2000000</v>
      </c>
      <c r="F118" s="43"/>
      <c r="G118" s="43"/>
      <c r="H118" s="43"/>
      <c r="I118" s="44"/>
    </row>
    <row r="119" spans="2:9" x14ac:dyDescent="0.2">
      <c r="B119" s="42" t="s">
        <v>222</v>
      </c>
      <c r="C119" s="43"/>
      <c r="D119" s="43"/>
      <c r="E119" s="43">
        <f>D118+D117</f>
        <v>3200000</v>
      </c>
      <c r="F119" s="43" t="s">
        <v>223</v>
      </c>
      <c r="G119" s="43"/>
      <c r="H119" s="43"/>
      <c r="I119" s="44"/>
    </row>
    <row r="120" spans="2:9" x14ac:dyDescent="0.2">
      <c r="B120" s="42"/>
      <c r="C120" s="43"/>
      <c r="D120" s="43"/>
      <c r="E120" s="43"/>
      <c r="F120" s="43"/>
      <c r="G120" s="43"/>
      <c r="H120" s="43"/>
      <c r="I120" s="44"/>
    </row>
    <row r="121" spans="2:9" ht="16" thickBot="1" x14ac:dyDescent="0.25">
      <c r="B121" s="45"/>
      <c r="C121" s="46"/>
      <c r="D121" s="46"/>
      <c r="E121" s="46"/>
      <c r="F121" s="46"/>
      <c r="G121" s="46"/>
      <c r="H121" s="46"/>
      <c r="I121" s="47"/>
    </row>
    <row r="123" spans="2:9" ht="16" thickBot="1" x14ac:dyDescent="0.25"/>
    <row r="124" spans="2:9" x14ac:dyDescent="0.2">
      <c r="B124" s="5" t="s">
        <v>26</v>
      </c>
      <c r="C124" s="6"/>
      <c r="D124" s="6"/>
      <c r="E124" s="6"/>
      <c r="F124" s="6"/>
      <c r="G124" s="6"/>
      <c r="H124" s="6"/>
      <c r="I124" s="7"/>
    </row>
    <row r="125" spans="2:9" ht="69" customHeight="1" x14ac:dyDescent="0.2">
      <c r="B125" s="89" t="s">
        <v>120</v>
      </c>
      <c r="C125" s="90"/>
      <c r="D125" s="90"/>
      <c r="E125" s="90"/>
      <c r="F125" s="90"/>
      <c r="G125" s="90"/>
      <c r="H125" s="90"/>
      <c r="I125" s="91"/>
    </row>
    <row r="126" spans="2:9" x14ac:dyDescent="0.2">
      <c r="B126" s="12" t="s">
        <v>6</v>
      </c>
      <c r="C126" s="65">
        <f>E130</f>
        <v>1175000</v>
      </c>
      <c r="D126" s="9"/>
      <c r="E126" s="9"/>
      <c r="F126" s="9"/>
      <c r="G126" s="9"/>
      <c r="H126" s="9"/>
      <c r="I126" s="10"/>
    </row>
    <row r="127" spans="2:9" x14ac:dyDescent="0.2">
      <c r="B127" s="39"/>
      <c r="C127" s="40" t="s">
        <v>224</v>
      </c>
      <c r="D127" s="40" t="s">
        <v>225</v>
      </c>
      <c r="E127" s="40" t="s">
        <v>202</v>
      </c>
      <c r="F127" s="40"/>
      <c r="G127" s="40"/>
      <c r="H127" s="40"/>
      <c r="I127" s="41"/>
    </row>
    <row r="128" spans="2:9" x14ac:dyDescent="0.2">
      <c r="B128" s="42" t="s">
        <v>99</v>
      </c>
      <c r="C128" s="43">
        <v>1150000</v>
      </c>
      <c r="D128" s="43">
        <v>65000</v>
      </c>
      <c r="E128" s="43">
        <f>C128+D128</f>
        <v>1215000</v>
      </c>
      <c r="F128" s="43"/>
      <c r="G128" s="43"/>
      <c r="H128" s="43"/>
      <c r="I128" s="44"/>
    </row>
    <row r="129" spans="2:9" x14ac:dyDescent="0.2">
      <c r="B129" s="42" t="s">
        <v>205</v>
      </c>
      <c r="C129" s="43">
        <v>25000</v>
      </c>
      <c r="D129" s="43">
        <v>15000</v>
      </c>
      <c r="E129" s="43">
        <f>C129+D129</f>
        <v>40000</v>
      </c>
      <c r="F129" s="43"/>
      <c r="G129" s="43"/>
      <c r="H129" s="43"/>
      <c r="I129" s="44"/>
    </row>
    <row r="130" spans="2:9" x14ac:dyDescent="0.2">
      <c r="B130" s="42"/>
      <c r="C130" s="43"/>
      <c r="D130" s="43"/>
      <c r="E130" s="43">
        <f>E128-E129</f>
        <v>1175000</v>
      </c>
      <c r="F130" s="43"/>
      <c r="G130" s="43"/>
      <c r="H130" s="43"/>
      <c r="I130" s="44"/>
    </row>
    <row r="131" spans="2:9" ht="16" thickBot="1" x14ac:dyDescent="0.25">
      <c r="B131" s="45"/>
      <c r="C131" s="46"/>
      <c r="D131" s="46"/>
      <c r="E131" s="46"/>
      <c r="F131" s="46"/>
      <c r="G131" s="46"/>
      <c r="H131" s="46"/>
      <c r="I131" s="47"/>
    </row>
    <row r="132" spans="2:9" ht="16" thickBot="1" x14ac:dyDescent="0.25"/>
    <row r="133" spans="2:9" x14ac:dyDescent="0.2">
      <c r="B133" s="5" t="s">
        <v>28</v>
      </c>
      <c r="C133" s="6"/>
      <c r="D133" s="6"/>
      <c r="E133" s="6"/>
      <c r="F133" s="6"/>
      <c r="G133" s="6"/>
      <c r="H133" s="6"/>
      <c r="I133" s="7"/>
    </row>
    <row r="134" spans="2:9" ht="48.75" customHeight="1" x14ac:dyDescent="0.2">
      <c r="B134" s="89" t="s">
        <v>32</v>
      </c>
      <c r="C134" s="90"/>
      <c r="D134" s="90"/>
      <c r="E134" s="90"/>
      <c r="F134" s="90"/>
      <c r="G134" s="90"/>
      <c r="H134" s="90"/>
      <c r="I134" s="91"/>
    </row>
    <row r="135" spans="2:9" x14ac:dyDescent="0.2">
      <c r="B135" s="12" t="s">
        <v>6</v>
      </c>
      <c r="C135" s="65">
        <f>C140</f>
        <v>525000</v>
      </c>
      <c r="D135" s="9"/>
      <c r="E135" s="9"/>
      <c r="F135" s="9"/>
      <c r="G135" s="9"/>
      <c r="H135" s="9"/>
      <c r="I135" s="10"/>
    </row>
    <row r="136" spans="2:9" x14ac:dyDescent="0.2">
      <c r="B136" s="39" t="s">
        <v>226</v>
      </c>
      <c r="C136" s="40">
        <v>300000</v>
      </c>
      <c r="D136" s="40"/>
      <c r="E136" s="40"/>
      <c r="F136" s="40"/>
      <c r="G136" s="40"/>
      <c r="H136" s="40"/>
      <c r="I136" s="41"/>
    </row>
    <row r="137" spans="2:9" x14ac:dyDescent="0.2">
      <c r="B137" s="42" t="s">
        <v>220</v>
      </c>
      <c r="C137" s="43">
        <v>2000000</v>
      </c>
      <c r="D137" s="43"/>
      <c r="E137" s="43"/>
      <c r="F137" s="43"/>
      <c r="G137" s="43"/>
      <c r="H137" s="43"/>
      <c r="I137" s="44"/>
    </row>
    <row r="138" spans="2:9" x14ac:dyDescent="0.2">
      <c r="B138" s="42" t="s">
        <v>227</v>
      </c>
      <c r="C138" s="43">
        <f>C137-C136</f>
        <v>1700000</v>
      </c>
      <c r="D138" s="43"/>
      <c r="E138" s="43"/>
      <c r="F138" s="43"/>
      <c r="G138" s="43"/>
      <c r="H138" s="43"/>
      <c r="I138" s="44"/>
    </row>
    <row r="139" spans="2:9" x14ac:dyDescent="0.2">
      <c r="B139" s="42" t="s">
        <v>228</v>
      </c>
      <c r="C139" s="43"/>
      <c r="D139" s="43"/>
      <c r="E139" s="43"/>
      <c r="F139" s="43"/>
      <c r="G139" s="43"/>
      <c r="H139" s="43"/>
      <c r="I139" s="44"/>
    </row>
    <row r="140" spans="2:9" ht="16" thickBot="1" x14ac:dyDescent="0.25">
      <c r="B140" s="45" t="s">
        <v>103</v>
      </c>
      <c r="C140" s="46">
        <f>C138-E130</f>
        <v>525000</v>
      </c>
      <c r="D140" s="46"/>
      <c r="E140" s="46"/>
      <c r="F140" s="46"/>
      <c r="G140" s="46"/>
      <c r="H140" s="46"/>
      <c r="I140" s="47"/>
    </row>
    <row r="141" spans="2:9" ht="16" thickBot="1" x14ac:dyDescent="0.25"/>
    <row r="142" spans="2:9" x14ac:dyDescent="0.2">
      <c r="B142" s="5" t="s">
        <v>30</v>
      </c>
      <c r="C142" s="6"/>
      <c r="D142" s="6"/>
      <c r="E142" s="6"/>
      <c r="F142" s="6"/>
      <c r="G142" s="6"/>
      <c r="H142" s="6"/>
      <c r="I142" s="7"/>
    </row>
    <row r="143" spans="2:9" ht="37.5" customHeight="1" x14ac:dyDescent="0.2">
      <c r="B143" s="89" t="s">
        <v>33</v>
      </c>
      <c r="C143" s="90"/>
      <c r="D143" s="90"/>
      <c r="E143" s="90"/>
      <c r="F143" s="90"/>
      <c r="G143" s="90"/>
      <c r="H143" s="90"/>
      <c r="I143" s="91"/>
    </row>
    <row r="144" spans="2:9" x14ac:dyDescent="0.2">
      <c r="B144" s="12" t="s">
        <v>6</v>
      </c>
      <c r="C144" s="9"/>
      <c r="D144" s="9"/>
      <c r="E144" s="9"/>
      <c r="F144" s="9"/>
      <c r="G144" s="9"/>
      <c r="H144" s="9"/>
      <c r="I144" s="10"/>
    </row>
    <row r="145" spans="2:9" x14ac:dyDescent="0.2">
      <c r="B145" s="39"/>
      <c r="C145" s="40"/>
      <c r="D145" s="40"/>
      <c r="E145" s="40"/>
      <c r="F145" s="40"/>
      <c r="G145" s="40"/>
      <c r="H145" s="40"/>
      <c r="I145" s="41"/>
    </row>
    <row r="146" spans="2:9" x14ac:dyDescent="0.2">
      <c r="B146" s="42" t="s">
        <v>232</v>
      </c>
      <c r="C146" s="43"/>
      <c r="D146" s="43"/>
      <c r="E146" s="43"/>
      <c r="F146" s="43"/>
      <c r="G146" s="43"/>
      <c r="H146" s="43"/>
      <c r="I146" s="44"/>
    </row>
    <row r="147" spans="2:9" x14ac:dyDescent="0.2">
      <c r="B147" s="42" t="s">
        <v>233</v>
      </c>
      <c r="C147" s="43"/>
      <c r="D147" s="43"/>
      <c r="E147" s="43"/>
      <c r="F147" s="43"/>
      <c r="G147" s="43"/>
      <c r="H147" s="43"/>
      <c r="I147" s="44"/>
    </row>
    <row r="148" spans="2:9" x14ac:dyDescent="0.2">
      <c r="B148" s="42"/>
      <c r="C148" s="43"/>
      <c r="D148" s="43"/>
      <c r="E148" s="43"/>
      <c r="F148" s="43"/>
      <c r="G148" s="43"/>
      <c r="H148" s="43"/>
      <c r="I148" s="44"/>
    </row>
    <row r="149" spans="2:9" ht="16" thickBot="1" x14ac:dyDescent="0.25">
      <c r="B149" s="45"/>
      <c r="C149" s="46"/>
      <c r="D149" s="46"/>
      <c r="E149" s="46"/>
      <c r="F149" s="46"/>
      <c r="G149" s="46"/>
      <c r="H149" s="46"/>
      <c r="I149" s="47"/>
    </row>
    <row r="150" spans="2:9" ht="16" thickBot="1" x14ac:dyDescent="0.25"/>
    <row r="151" spans="2:9" x14ac:dyDescent="0.2">
      <c r="B151" s="5" t="s">
        <v>31</v>
      </c>
      <c r="C151" s="6"/>
      <c r="D151" s="6"/>
      <c r="E151" s="6"/>
      <c r="F151" s="6"/>
      <c r="G151" s="6"/>
      <c r="H151" s="6"/>
      <c r="I151" s="7"/>
    </row>
    <row r="152" spans="2:9" ht="20.25" customHeight="1" x14ac:dyDescent="0.2">
      <c r="B152" s="89" t="s">
        <v>34</v>
      </c>
      <c r="C152" s="90"/>
      <c r="D152" s="90"/>
      <c r="E152" s="90"/>
      <c r="F152" s="90"/>
      <c r="G152" s="90"/>
      <c r="H152" s="90"/>
      <c r="I152" s="91"/>
    </row>
    <row r="153" spans="2:9" x14ac:dyDescent="0.2">
      <c r="B153" s="12" t="s">
        <v>6</v>
      </c>
      <c r="C153" s="9"/>
      <c r="D153" s="9"/>
      <c r="E153" s="9"/>
      <c r="F153" s="9"/>
      <c r="G153" s="9"/>
      <c r="H153" s="9"/>
      <c r="I153" s="10"/>
    </row>
    <row r="154" spans="2:9" x14ac:dyDescent="0.2">
      <c r="B154" s="39"/>
      <c r="C154" s="40"/>
      <c r="D154" s="40"/>
      <c r="E154" s="40"/>
      <c r="F154" s="40"/>
      <c r="G154" s="40"/>
      <c r="H154" s="40"/>
      <c r="I154" s="41"/>
    </row>
    <row r="155" spans="2:9" x14ac:dyDescent="0.2">
      <c r="B155" s="42" t="s">
        <v>229</v>
      </c>
      <c r="C155" s="43"/>
      <c r="D155" s="43"/>
      <c r="E155" s="43"/>
      <c r="F155" s="43"/>
      <c r="G155" s="43"/>
      <c r="H155" s="43"/>
      <c r="I155" s="44"/>
    </row>
    <row r="156" spans="2:9" x14ac:dyDescent="0.2">
      <c r="B156" s="42" t="s">
        <v>230</v>
      </c>
      <c r="C156" s="43"/>
      <c r="D156" s="43"/>
      <c r="E156" s="43"/>
      <c r="F156" s="43"/>
      <c r="G156" s="43"/>
      <c r="H156" s="43"/>
      <c r="I156" s="44"/>
    </row>
    <row r="157" spans="2:9" x14ac:dyDescent="0.2">
      <c r="B157" s="42"/>
      <c r="C157" s="43"/>
      <c r="D157" s="43"/>
      <c r="E157" s="43"/>
      <c r="F157" s="43"/>
      <c r="G157" s="43"/>
      <c r="H157" s="43"/>
      <c r="I157" s="44"/>
    </row>
    <row r="158" spans="2:9" ht="16" thickBot="1" x14ac:dyDescent="0.25">
      <c r="B158" s="45"/>
      <c r="C158" s="46"/>
      <c r="D158" s="46"/>
      <c r="E158" s="46"/>
      <c r="F158" s="46"/>
      <c r="G158" s="46"/>
      <c r="H158" s="46"/>
      <c r="I158" s="47"/>
    </row>
  </sheetData>
  <mergeCells count="17">
    <mergeCell ref="B96:I96"/>
    <mergeCell ref="B5:I5"/>
    <mergeCell ref="B14:I14"/>
    <mergeCell ref="B23:I23"/>
    <mergeCell ref="B32:I32"/>
    <mergeCell ref="B41:I41"/>
    <mergeCell ref="B50:I50"/>
    <mergeCell ref="B59:I59"/>
    <mergeCell ref="B69:I69"/>
    <mergeCell ref="B78:I78"/>
    <mergeCell ref="B87:I87"/>
    <mergeCell ref="B143:I143"/>
    <mergeCell ref="B152:I152"/>
    <mergeCell ref="B106:I106"/>
    <mergeCell ref="B115:I115"/>
    <mergeCell ref="B125:I125"/>
    <mergeCell ref="B134:I13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2:I81"/>
  <sheetViews>
    <sheetView showGridLines="0" topLeftCell="A48" zoomScale="90" zoomScaleNormal="90" workbookViewId="0">
      <selection activeCell="C70" sqref="C70"/>
    </sheetView>
  </sheetViews>
  <sheetFormatPr baseColWidth="10" defaultColWidth="8.83203125" defaultRowHeight="15" x14ac:dyDescent="0.2"/>
  <cols>
    <col min="2" max="2" width="23.5" customWidth="1"/>
    <col min="3" max="3" width="14.6640625" customWidth="1"/>
    <col min="4" max="4" width="18.5" customWidth="1"/>
    <col min="5" max="5" width="22.1640625" customWidth="1"/>
    <col min="6" max="6" width="18.33203125" customWidth="1"/>
    <col min="7" max="8" width="11.1640625" bestFit="1" customWidth="1"/>
  </cols>
  <sheetData>
    <row r="2" spans="2:9" x14ac:dyDescent="0.2">
      <c r="B2" t="s">
        <v>162</v>
      </c>
    </row>
    <row r="3" spans="2:9" x14ac:dyDescent="0.2">
      <c r="B3" s="13" t="s">
        <v>54</v>
      </c>
      <c r="C3" s="53" t="s">
        <v>55</v>
      </c>
      <c r="D3" s="60" t="s">
        <v>56</v>
      </c>
    </row>
    <row r="4" spans="2:9" x14ac:dyDescent="0.2">
      <c r="B4" s="16" t="s">
        <v>57</v>
      </c>
      <c r="C4" s="49">
        <v>3000</v>
      </c>
      <c r="D4" s="57">
        <v>15000</v>
      </c>
    </row>
    <row r="5" spans="2:9" x14ac:dyDescent="0.2">
      <c r="B5" s="16" t="s">
        <v>58</v>
      </c>
      <c r="C5" s="49">
        <v>2000</v>
      </c>
      <c r="D5" s="57">
        <v>10000</v>
      </c>
    </row>
    <row r="6" spans="2:9" x14ac:dyDescent="0.2">
      <c r="B6" s="18" t="s">
        <v>59</v>
      </c>
      <c r="C6" s="51">
        <v>1000</v>
      </c>
      <c r="D6" s="58">
        <v>12000</v>
      </c>
    </row>
    <row r="7" spans="2:9" x14ac:dyDescent="0.2">
      <c r="B7" s="9"/>
      <c r="C7" s="17"/>
      <c r="D7" s="17"/>
    </row>
    <row r="8" spans="2:9" x14ac:dyDescent="0.2">
      <c r="B8" s="19" t="s">
        <v>163</v>
      </c>
    </row>
    <row r="9" spans="2:9" x14ac:dyDescent="0.2">
      <c r="B9" s="19"/>
    </row>
    <row r="10" spans="2:9" x14ac:dyDescent="0.2">
      <c r="B10" s="19" t="s">
        <v>108</v>
      </c>
    </row>
    <row r="11" spans="2:9" x14ac:dyDescent="0.2">
      <c r="B11" s="13"/>
      <c r="C11" s="60" t="s">
        <v>60</v>
      </c>
      <c r="D11" s="60" t="s">
        <v>61</v>
      </c>
      <c r="E11" s="54" t="s">
        <v>62</v>
      </c>
      <c r="I11" s="79"/>
    </row>
    <row r="12" spans="2:9" x14ac:dyDescent="0.2">
      <c r="B12" s="16" t="s">
        <v>63</v>
      </c>
      <c r="C12" s="57">
        <v>10</v>
      </c>
      <c r="D12" s="57">
        <v>5</v>
      </c>
      <c r="E12" s="50">
        <v>12</v>
      </c>
      <c r="H12" s="78"/>
      <c r="I12" s="79"/>
    </row>
    <row r="13" spans="2:9" x14ac:dyDescent="0.2">
      <c r="B13" s="16" t="s">
        <v>64</v>
      </c>
      <c r="C13" s="57">
        <v>10</v>
      </c>
      <c r="D13" s="57">
        <v>12</v>
      </c>
      <c r="E13" s="50">
        <v>12</v>
      </c>
      <c r="H13" s="78"/>
      <c r="I13" s="79"/>
    </row>
    <row r="14" spans="2:9" x14ac:dyDescent="0.2">
      <c r="B14" s="16" t="s">
        <v>65</v>
      </c>
      <c r="C14" s="57">
        <v>40</v>
      </c>
      <c r="D14" s="57">
        <v>30</v>
      </c>
      <c r="E14" s="50">
        <v>60</v>
      </c>
    </row>
    <row r="15" spans="2:9" x14ac:dyDescent="0.2">
      <c r="B15" s="16" t="s">
        <v>66</v>
      </c>
      <c r="C15" s="57">
        <v>0</v>
      </c>
      <c r="D15" s="57">
        <v>20</v>
      </c>
      <c r="E15" s="50">
        <v>0</v>
      </c>
    </row>
    <row r="16" spans="2:9" x14ac:dyDescent="0.2">
      <c r="B16" s="16" t="s">
        <v>67</v>
      </c>
      <c r="C16" s="57">
        <v>0</v>
      </c>
      <c r="D16" s="57">
        <v>0</v>
      </c>
      <c r="E16" s="50">
        <v>30</v>
      </c>
    </row>
    <row r="17" spans="1:5" x14ac:dyDescent="0.2">
      <c r="B17" s="18" t="s">
        <v>68</v>
      </c>
      <c r="C17" s="58">
        <v>4</v>
      </c>
      <c r="D17" s="58">
        <v>0</v>
      </c>
      <c r="E17" s="52">
        <v>0</v>
      </c>
    </row>
    <row r="18" spans="1:5" x14ac:dyDescent="0.2">
      <c r="B18" s="11"/>
      <c r="C18" s="17"/>
      <c r="D18" s="17"/>
      <c r="E18" s="17"/>
    </row>
    <row r="19" spans="1:5" x14ac:dyDescent="0.2">
      <c r="A19" s="9"/>
      <c r="B19" s="20" t="s">
        <v>164</v>
      </c>
    </row>
    <row r="20" spans="1:5" x14ac:dyDescent="0.2">
      <c r="B20" s="13"/>
      <c r="C20" s="54"/>
    </row>
    <row r="21" spans="1:5" x14ac:dyDescent="0.2">
      <c r="B21" s="16" t="s">
        <v>69</v>
      </c>
      <c r="C21" s="50">
        <v>75</v>
      </c>
    </row>
    <row r="22" spans="1:5" x14ac:dyDescent="0.2">
      <c r="B22" s="16" t="s">
        <v>70</v>
      </c>
      <c r="C22" s="50">
        <v>100</v>
      </c>
    </row>
    <row r="23" spans="1:5" x14ac:dyDescent="0.2">
      <c r="B23" s="16" t="s">
        <v>160</v>
      </c>
      <c r="C23" s="50">
        <v>150</v>
      </c>
    </row>
    <row r="24" spans="1:5" x14ac:dyDescent="0.2">
      <c r="B24" s="16" t="s">
        <v>71</v>
      </c>
      <c r="C24" s="50">
        <v>125</v>
      </c>
    </row>
    <row r="25" spans="1:5" x14ac:dyDescent="0.2">
      <c r="B25" s="16" t="s">
        <v>72</v>
      </c>
      <c r="C25" s="50">
        <v>50</v>
      </c>
    </row>
    <row r="26" spans="1:5" x14ac:dyDescent="0.2">
      <c r="B26" s="18" t="s">
        <v>73</v>
      </c>
      <c r="C26" s="52">
        <v>100</v>
      </c>
    </row>
    <row r="27" spans="1:5" x14ac:dyDescent="0.2">
      <c r="B27" s="19" t="s">
        <v>165</v>
      </c>
    </row>
    <row r="28" spans="1:5" x14ac:dyDescent="0.2">
      <c r="B28" s="19"/>
    </row>
    <row r="29" spans="1:5" x14ac:dyDescent="0.2">
      <c r="B29" s="19" t="s">
        <v>166</v>
      </c>
    </row>
    <row r="30" spans="1:5" x14ac:dyDescent="0.2">
      <c r="B30" t="s">
        <v>172</v>
      </c>
    </row>
    <row r="32" spans="1:5" x14ac:dyDescent="0.2">
      <c r="B32" t="s">
        <v>109</v>
      </c>
    </row>
    <row r="33" spans="2:4" x14ac:dyDescent="0.2">
      <c r="B33" t="s">
        <v>121</v>
      </c>
    </row>
    <row r="34" spans="2:4" x14ac:dyDescent="0.2">
      <c r="B34" t="s">
        <v>113</v>
      </c>
    </row>
    <row r="35" spans="2:4" x14ac:dyDescent="0.2">
      <c r="B35" s="13"/>
      <c r="C35" s="60" t="s">
        <v>74</v>
      </c>
      <c r="D35" s="54" t="s">
        <v>75</v>
      </c>
    </row>
    <row r="36" spans="2:4" x14ac:dyDescent="0.2">
      <c r="B36" s="16" t="s">
        <v>76</v>
      </c>
      <c r="C36" s="57">
        <v>300</v>
      </c>
      <c r="D36" s="50">
        <v>60</v>
      </c>
    </row>
    <row r="37" spans="2:4" x14ac:dyDescent="0.2">
      <c r="B37" s="18" t="s">
        <v>77</v>
      </c>
      <c r="C37" s="58">
        <v>100</v>
      </c>
      <c r="D37" s="52">
        <v>100</v>
      </c>
    </row>
    <row r="38" spans="2:4" x14ac:dyDescent="0.2">
      <c r="B38" s="9"/>
      <c r="C38" s="17"/>
      <c r="D38" s="17"/>
    </row>
    <row r="39" spans="2:4" x14ac:dyDescent="0.2">
      <c r="B39" s="21" t="s">
        <v>167</v>
      </c>
    </row>
    <row r="40" spans="2:4" x14ac:dyDescent="0.2">
      <c r="B40" s="21" t="s">
        <v>111</v>
      </c>
    </row>
    <row r="41" spans="2:4" x14ac:dyDescent="0.2">
      <c r="B41" s="21" t="s">
        <v>122</v>
      </c>
    </row>
    <row r="42" spans="2:4" x14ac:dyDescent="0.2">
      <c r="B42" s="21" t="s">
        <v>174</v>
      </c>
    </row>
    <row r="43" spans="2:4" x14ac:dyDescent="0.2">
      <c r="B43" s="21"/>
    </row>
    <row r="44" spans="2:4" x14ac:dyDescent="0.2">
      <c r="B44" t="s">
        <v>168</v>
      </c>
    </row>
    <row r="45" spans="2:4" x14ac:dyDescent="0.2">
      <c r="B45" t="s">
        <v>173</v>
      </c>
    </row>
    <row r="46" spans="2:4" x14ac:dyDescent="0.2">
      <c r="B46" t="s">
        <v>114</v>
      </c>
    </row>
    <row r="48" spans="2:4" x14ac:dyDescent="0.2">
      <c r="B48" t="s">
        <v>169</v>
      </c>
    </row>
    <row r="49" spans="2:7" ht="32" x14ac:dyDescent="0.2">
      <c r="B49" s="13"/>
      <c r="C49" s="55" t="s">
        <v>78</v>
      </c>
      <c r="D49" s="55" t="s">
        <v>79</v>
      </c>
      <c r="E49" s="55" t="s">
        <v>80</v>
      </c>
      <c r="F49" s="55" t="s">
        <v>81</v>
      </c>
    </row>
    <row r="50" spans="2:7" x14ac:dyDescent="0.2">
      <c r="B50" s="22" t="s">
        <v>82</v>
      </c>
      <c r="C50" s="56">
        <v>2500000</v>
      </c>
      <c r="D50" s="56">
        <v>5</v>
      </c>
      <c r="E50" s="56">
        <v>2017</v>
      </c>
      <c r="F50" s="56">
        <v>1500000</v>
      </c>
      <c r="G50" s="79"/>
    </row>
    <row r="51" spans="2:7" x14ac:dyDescent="0.2">
      <c r="B51" s="16" t="s">
        <v>83</v>
      </c>
      <c r="C51" s="57">
        <v>2000000</v>
      </c>
      <c r="D51" s="57">
        <v>5</v>
      </c>
      <c r="E51" s="57">
        <v>2018</v>
      </c>
      <c r="F51" s="57">
        <v>1000000</v>
      </c>
      <c r="G51" s="79"/>
    </row>
    <row r="52" spans="2:7" x14ac:dyDescent="0.2">
      <c r="B52" s="16" t="s">
        <v>84</v>
      </c>
      <c r="C52" s="57">
        <v>5000000</v>
      </c>
      <c r="D52" s="57">
        <v>5</v>
      </c>
      <c r="E52" s="57">
        <v>2016</v>
      </c>
      <c r="F52" s="57">
        <v>2000000</v>
      </c>
      <c r="G52" s="79"/>
    </row>
    <row r="53" spans="2:7" x14ac:dyDescent="0.2">
      <c r="B53" s="18" t="s">
        <v>85</v>
      </c>
      <c r="C53" s="58">
        <v>3000000</v>
      </c>
      <c r="D53" s="58">
        <v>4</v>
      </c>
      <c r="E53" s="58">
        <v>2017</v>
      </c>
      <c r="F53" s="58">
        <v>0</v>
      </c>
      <c r="G53" s="79"/>
    </row>
    <row r="54" spans="2:7" x14ac:dyDescent="0.2">
      <c r="B54" s="18" t="s">
        <v>3</v>
      </c>
      <c r="C54" s="58">
        <f>SUM(C50:C53)</f>
        <v>12500000</v>
      </c>
      <c r="D54" s="59"/>
      <c r="E54" s="59"/>
      <c r="F54" s="59"/>
    </row>
    <row r="55" spans="2:7" x14ac:dyDescent="0.2">
      <c r="B55" t="s">
        <v>112</v>
      </c>
    </row>
    <row r="57" spans="2:7" x14ac:dyDescent="0.2">
      <c r="B57" t="s">
        <v>177</v>
      </c>
    </row>
    <row r="58" spans="2:7" x14ac:dyDescent="0.2">
      <c r="B58" t="s">
        <v>178</v>
      </c>
    </row>
    <row r="59" spans="2:7" x14ac:dyDescent="0.2">
      <c r="B59" t="s">
        <v>170</v>
      </c>
    </row>
    <row r="60" spans="2:7" x14ac:dyDescent="0.2">
      <c r="B60" t="s">
        <v>110</v>
      </c>
    </row>
    <row r="61" spans="2:7" x14ac:dyDescent="0.2">
      <c r="B61" t="s">
        <v>179</v>
      </c>
    </row>
    <row r="63" spans="2:7" x14ac:dyDescent="0.2">
      <c r="B63" t="s">
        <v>115</v>
      </c>
    </row>
    <row r="65" spans="2:6" x14ac:dyDescent="0.2">
      <c r="B65" t="s">
        <v>171</v>
      </c>
    </row>
    <row r="67" spans="2:6" x14ac:dyDescent="0.2">
      <c r="B67" s="31" t="s">
        <v>86</v>
      </c>
      <c r="C67" s="15"/>
      <c r="D67" s="14"/>
      <c r="E67" s="14"/>
      <c r="F67" s="15"/>
    </row>
    <row r="68" spans="2:6" x14ac:dyDescent="0.2">
      <c r="B68" s="31" t="s">
        <v>87</v>
      </c>
      <c r="C68" s="15"/>
      <c r="D68" s="14"/>
      <c r="E68" s="14" t="s">
        <v>88</v>
      </c>
      <c r="F68" s="15"/>
    </row>
    <row r="69" spans="2:6" x14ac:dyDescent="0.2">
      <c r="B69" s="27" t="s">
        <v>89</v>
      </c>
      <c r="C69" s="28">
        <f>841666.66666667+50000</f>
        <v>891666.66666667</v>
      </c>
      <c r="D69" s="9"/>
      <c r="E69" s="9" t="s">
        <v>90</v>
      </c>
      <c r="F69" s="28">
        <v>300000</v>
      </c>
    </row>
    <row r="70" spans="2:6" x14ac:dyDescent="0.2">
      <c r="B70" s="27" t="s">
        <v>91</v>
      </c>
      <c r="C70" s="28">
        <v>350000</v>
      </c>
      <c r="D70" s="9"/>
      <c r="E70" s="9" t="s">
        <v>92</v>
      </c>
      <c r="F70" s="28">
        <v>300000</v>
      </c>
    </row>
    <row r="71" spans="2:6" x14ac:dyDescent="0.2">
      <c r="B71" s="27" t="s">
        <v>93</v>
      </c>
      <c r="C71" s="28">
        <v>415000</v>
      </c>
      <c r="D71" s="9"/>
      <c r="E71" s="2" t="s">
        <v>94</v>
      </c>
      <c r="F71" s="30">
        <f>F69+F70</f>
        <v>600000</v>
      </c>
    </row>
    <row r="72" spans="2:6" ht="16" thickBot="1" x14ac:dyDescent="0.25">
      <c r="B72" s="29" t="s">
        <v>95</v>
      </c>
      <c r="C72" s="30">
        <f>SUMPRODUCT(C36:C37,D36:D37)</f>
        <v>28000</v>
      </c>
      <c r="D72" s="33"/>
      <c r="E72" s="35" t="s">
        <v>96</v>
      </c>
      <c r="F72" s="36">
        <v>5000000</v>
      </c>
    </row>
    <row r="73" spans="2:6" ht="16" thickTop="1" x14ac:dyDescent="0.2">
      <c r="B73" s="27" t="s">
        <v>97</v>
      </c>
      <c r="C73" s="28">
        <f>SUM(C69:C72)</f>
        <v>1684666.66666667</v>
      </c>
      <c r="D73" s="9"/>
      <c r="E73" s="9" t="s">
        <v>98</v>
      </c>
      <c r="F73" s="28">
        <f>F71+F72</f>
        <v>5600000</v>
      </c>
    </row>
    <row r="74" spans="2:6" x14ac:dyDescent="0.2">
      <c r="B74" s="27"/>
      <c r="C74" s="28"/>
      <c r="D74" s="9"/>
      <c r="E74" s="9"/>
      <c r="F74" s="28"/>
    </row>
    <row r="75" spans="2:6" x14ac:dyDescent="0.2">
      <c r="B75" s="27" t="s">
        <v>99</v>
      </c>
      <c r="C75" s="28">
        <v>12500000</v>
      </c>
      <c r="D75" s="25"/>
      <c r="E75" s="11" t="s">
        <v>100</v>
      </c>
      <c r="F75" s="32"/>
    </row>
    <row r="76" spans="2:6" x14ac:dyDescent="0.2">
      <c r="B76" s="27" t="s">
        <v>101</v>
      </c>
      <c r="C76" s="28">
        <f>(C50-F50)/D50*2+(C51-F51)/D51*1+(C52-F52)/D52*3+(C53-F53)/D53*2</f>
        <v>3900000</v>
      </c>
      <c r="D76" s="27"/>
      <c r="E76" s="9" t="s">
        <v>102</v>
      </c>
      <c r="F76" s="28">
        <v>500000</v>
      </c>
    </row>
    <row r="77" spans="2:6" x14ac:dyDescent="0.2">
      <c r="B77" s="27" t="s">
        <v>103</v>
      </c>
      <c r="C77" s="28">
        <v>50000</v>
      </c>
      <c r="D77" s="27"/>
      <c r="E77" s="2" t="s">
        <v>104</v>
      </c>
      <c r="F77" s="30">
        <f>3819666.66666667+415000</f>
        <v>4234666.6666666698</v>
      </c>
    </row>
    <row r="78" spans="2:6" ht="16" thickBot="1" x14ac:dyDescent="0.25">
      <c r="B78" s="33"/>
      <c r="C78" s="34"/>
      <c r="D78" s="33"/>
      <c r="E78" s="35" t="s">
        <v>105</v>
      </c>
      <c r="F78" s="36">
        <f>SUM(F76:F77)</f>
        <v>4734666.6666666698</v>
      </c>
    </row>
    <row r="79" spans="2:6" ht="16" thickTop="1" x14ac:dyDescent="0.2">
      <c r="B79" s="29" t="s">
        <v>106</v>
      </c>
      <c r="C79" s="30">
        <f>C73+C75-C76+C77</f>
        <v>10334666.66666667</v>
      </c>
      <c r="D79" s="29"/>
      <c r="E79" s="2" t="s">
        <v>107</v>
      </c>
      <c r="F79" s="30">
        <f>F78+F73</f>
        <v>10334666.66666667</v>
      </c>
    </row>
    <row r="81" spans="6:6" x14ac:dyDescent="0.2">
      <c r="F81"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B1:S22"/>
  <sheetViews>
    <sheetView showGridLines="0" workbookViewId="0">
      <selection activeCell="O16" sqref="O16"/>
    </sheetView>
  </sheetViews>
  <sheetFormatPr baseColWidth="10" defaultColWidth="8.83203125" defaultRowHeight="15" x14ac:dyDescent="0.2"/>
  <cols>
    <col min="1" max="1" width="1.5" customWidth="1"/>
    <col min="5" max="5" width="14" bestFit="1" customWidth="1"/>
    <col min="6" max="6" width="3.6640625" customWidth="1"/>
    <col min="7" max="7" width="24.83203125" bestFit="1" customWidth="1"/>
    <col min="8" max="8" width="13.83203125" customWidth="1"/>
    <col min="9" max="9" width="5.83203125" customWidth="1"/>
    <col min="10" max="10" width="22" bestFit="1" customWidth="1"/>
    <col min="11" max="11" width="14" bestFit="1" customWidth="1"/>
    <col min="12" max="12" width="3.6640625" customWidth="1"/>
    <col min="13" max="13" width="24" bestFit="1" customWidth="1"/>
    <col min="15" max="15" width="14" bestFit="1" customWidth="1"/>
    <col min="16" max="16" width="3" customWidth="1"/>
    <col min="18" max="18" width="24.1640625" bestFit="1" customWidth="1"/>
  </cols>
  <sheetData>
    <row r="1" spans="2:19" x14ac:dyDescent="0.2">
      <c r="B1" s="61" t="s">
        <v>123</v>
      </c>
      <c r="G1" s="61" t="s">
        <v>86</v>
      </c>
      <c r="M1" s="61" t="s">
        <v>124</v>
      </c>
      <c r="Q1" s="61" t="s">
        <v>152</v>
      </c>
    </row>
    <row r="2" spans="2:19" x14ac:dyDescent="0.2">
      <c r="B2" s="25" t="s">
        <v>125</v>
      </c>
      <c r="C2" s="11"/>
      <c r="D2" s="11"/>
      <c r="E2" s="80">
        <f>'Case - Solving&amp;Explanation'!G13</f>
        <v>93600000</v>
      </c>
      <c r="G2" s="95" t="s">
        <v>87</v>
      </c>
      <c r="H2" s="96"/>
      <c r="I2" s="95" t="s">
        <v>88</v>
      </c>
      <c r="J2" s="99"/>
      <c r="K2" s="96"/>
      <c r="M2" s="101" t="s">
        <v>141</v>
      </c>
      <c r="N2" s="102"/>
      <c r="O2" s="103"/>
      <c r="Q2" s="37"/>
      <c r="R2" s="11"/>
      <c r="S2" s="26"/>
    </row>
    <row r="3" spans="2:19" x14ac:dyDescent="0.2">
      <c r="B3" s="27" t="s">
        <v>126</v>
      </c>
      <c r="C3" s="9"/>
      <c r="D3" s="9"/>
      <c r="E3" s="68">
        <f>'Case - Solving&amp;Explanation'!B46</f>
        <v>54931000</v>
      </c>
      <c r="G3" s="97"/>
      <c r="H3" s="98"/>
      <c r="I3" s="97"/>
      <c r="J3" s="100"/>
      <c r="K3" s="98"/>
      <c r="M3" s="104"/>
      <c r="N3" s="105"/>
      <c r="O3" s="106"/>
      <c r="Q3" s="92" t="s">
        <v>35</v>
      </c>
      <c r="R3" s="93"/>
      <c r="S3" s="94"/>
    </row>
    <row r="4" spans="2:19" x14ac:dyDescent="0.2">
      <c r="B4" s="27" t="s">
        <v>127</v>
      </c>
      <c r="C4" s="9"/>
      <c r="D4" s="9"/>
      <c r="E4" s="68">
        <f>'Case - Solving&amp;Explanation'!B50</f>
        <v>38669000</v>
      </c>
      <c r="G4" s="27" t="s">
        <v>89</v>
      </c>
      <c r="H4" s="68">
        <v>5858864.4800000004</v>
      </c>
      <c r="I4" s="9"/>
      <c r="J4" s="9" t="s">
        <v>90</v>
      </c>
      <c r="K4" s="68">
        <f>'Case - Solving&amp;Explanation'!B123</f>
        <v>1655919</v>
      </c>
      <c r="M4" s="27" t="s">
        <v>142</v>
      </c>
      <c r="N4" s="9"/>
      <c r="O4" s="68">
        <f>E12</f>
        <v>13246315.25</v>
      </c>
      <c r="Q4" s="27"/>
      <c r="R4" s="9" t="s">
        <v>36</v>
      </c>
      <c r="S4" s="68">
        <f>'Case - Solving&amp;Explanation'!B173</f>
        <v>1.4276662690909092</v>
      </c>
    </row>
    <row r="5" spans="2:19" x14ac:dyDescent="0.2">
      <c r="B5" s="27" t="s">
        <v>135</v>
      </c>
      <c r="C5" s="9"/>
      <c r="D5" s="9"/>
      <c r="E5" s="68">
        <f>'Case - Solving&amp;Explanation'!B65</f>
        <v>20089450</v>
      </c>
      <c r="G5" s="27" t="s">
        <v>91</v>
      </c>
      <c r="H5" s="68">
        <f>'Case - Solving&amp;Explanation'!B120</f>
        <v>468000</v>
      </c>
      <c r="I5" s="9"/>
      <c r="J5" s="9" t="s">
        <v>92</v>
      </c>
      <c r="K5" s="68" t="s">
        <v>285</v>
      </c>
      <c r="M5" s="27" t="s">
        <v>136</v>
      </c>
      <c r="N5" s="9"/>
      <c r="O5" s="68">
        <f>E7</f>
        <v>1800000</v>
      </c>
      <c r="Q5" s="27"/>
      <c r="R5" s="9" t="s">
        <v>37</v>
      </c>
      <c r="S5" s="68">
        <f>'Case - Solving&amp;Explanation'!B178</f>
        <v>3.8376662626613984</v>
      </c>
    </row>
    <row r="6" spans="2:19" ht="16" thickBot="1" x14ac:dyDescent="0.25">
      <c r="B6" s="27" t="s">
        <v>128</v>
      </c>
      <c r="C6" s="9"/>
      <c r="D6" s="9"/>
      <c r="E6" s="68">
        <f>'Case - Solving&amp;Explanation'!B69</f>
        <v>18579550</v>
      </c>
      <c r="G6" s="27" t="s">
        <v>93</v>
      </c>
      <c r="H6" s="68">
        <f>'Case - Solving&amp;Explanation'!B127</f>
        <v>1497300</v>
      </c>
      <c r="I6" s="9"/>
      <c r="J6" s="2" t="s">
        <v>94</v>
      </c>
      <c r="K6" s="69">
        <f>K4</f>
        <v>1655919</v>
      </c>
      <c r="M6" s="33" t="s">
        <v>143</v>
      </c>
      <c r="N6" s="35"/>
      <c r="O6" s="81">
        <f>'Case - Solving&amp;Explanation'!B154</f>
        <v>155619</v>
      </c>
      <c r="Q6" s="27"/>
      <c r="R6" s="9" t="s">
        <v>38</v>
      </c>
      <c r="S6" s="68">
        <f>'Case - Solving&amp;Explanation'!B183</f>
        <v>3.5381347034486592</v>
      </c>
    </row>
    <row r="7" spans="2:19" ht="17" thickTop="1" thickBot="1" x14ac:dyDescent="0.25">
      <c r="B7" s="27" t="s">
        <v>136</v>
      </c>
      <c r="C7" s="9"/>
      <c r="D7" s="9"/>
      <c r="E7" s="68">
        <f>'Case - Solving&amp;Explanation'!B84</f>
        <v>1800000</v>
      </c>
      <c r="G7" s="29" t="s">
        <v>95</v>
      </c>
      <c r="H7" s="69">
        <f>'Case - Solving&amp;Explanation'!B131</f>
        <v>28000</v>
      </c>
      <c r="I7" s="33"/>
      <c r="J7" s="35" t="s">
        <v>96</v>
      </c>
      <c r="K7" s="81">
        <f>'Case - Solving&amp;Explanation'!B147</f>
        <v>5500000</v>
      </c>
      <c r="M7" s="27" t="s">
        <v>144</v>
      </c>
      <c r="N7" s="9"/>
      <c r="O7" s="68">
        <f>SUM(O4:O6)</f>
        <v>15201934.25</v>
      </c>
      <c r="Q7" s="92" t="s">
        <v>39</v>
      </c>
      <c r="R7" s="93"/>
      <c r="S7" s="94"/>
    </row>
    <row r="8" spans="2:19" ht="16" thickTop="1" x14ac:dyDescent="0.2">
      <c r="B8" s="27" t="s">
        <v>129</v>
      </c>
      <c r="C8" s="9"/>
      <c r="D8" s="9"/>
      <c r="E8" s="68">
        <f>'Case - Solving&amp;Explanation'!B86</f>
        <v>16779550</v>
      </c>
      <c r="G8" s="27" t="s">
        <v>97</v>
      </c>
      <c r="H8" s="68">
        <f>SUM(H4:H7)</f>
        <v>7852164.4800000004</v>
      </c>
      <c r="I8" s="9"/>
      <c r="J8" s="9" t="s">
        <v>98</v>
      </c>
      <c r="K8" s="68">
        <f>K6+K7</f>
        <v>7155919</v>
      </c>
      <c r="M8" s="27"/>
      <c r="N8" s="9"/>
      <c r="O8" s="28"/>
      <c r="Q8" s="27"/>
      <c r="R8" s="9" t="s">
        <v>40</v>
      </c>
      <c r="S8" s="68">
        <f>'Case - Solving&amp;Explanation'!B188</f>
        <v>7.3305884714061431</v>
      </c>
    </row>
    <row r="9" spans="2:19" x14ac:dyDescent="0.2">
      <c r="B9" s="27" t="s">
        <v>130</v>
      </c>
      <c r="C9" s="9"/>
      <c r="D9" s="9"/>
      <c r="E9" s="68">
        <f>'Case - Solving&amp;Explanation'!B100</f>
        <v>324500</v>
      </c>
      <c r="G9" s="27"/>
      <c r="H9" s="82"/>
      <c r="I9" s="9"/>
      <c r="J9" s="9"/>
      <c r="K9" s="28"/>
      <c r="M9" s="104" t="s">
        <v>145</v>
      </c>
      <c r="N9" s="105"/>
      <c r="O9" s="106"/>
      <c r="Q9" s="27"/>
      <c r="R9" s="9" t="s">
        <v>41</v>
      </c>
      <c r="S9" s="68">
        <f>'Case - Solving&amp;Explanation'!B193</f>
        <v>228.85085574572128</v>
      </c>
    </row>
    <row r="10" spans="2:19" x14ac:dyDescent="0.2">
      <c r="B10" s="27" t="s">
        <v>131</v>
      </c>
      <c r="C10" s="9"/>
      <c r="D10" s="9"/>
      <c r="E10" s="68">
        <f>'Case - Solving&amp;Explanation'!B102</f>
        <v>16455050</v>
      </c>
      <c r="G10" s="27" t="s">
        <v>99</v>
      </c>
      <c r="H10" s="68">
        <f>'Case - Solving&amp;Explanation'!B137</f>
        <v>13000000</v>
      </c>
      <c r="I10" s="25"/>
      <c r="J10" s="99" t="s">
        <v>100</v>
      </c>
      <c r="K10" s="96"/>
      <c r="M10" s="27" t="s">
        <v>132</v>
      </c>
      <c r="N10" s="9"/>
      <c r="O10" s="68">
        <f>-'Case - Solving&amp;Explanation'!C80</f>
        <v>-500000</v>
      </c>
      <c r="Q10" s="27"/>
      <c r="R10" s="9" t="s">
        <v>42</v>
      </c>
      <c r="S10" s="68">
        <f>'Case - Solving&amp;Explanation'!B199</f>
        <v>1.5949252136752137</v>
      </c>
    </row>
    <row r="11" spans="2:19" ht="16" thickBot="1" x14ac:dyDescent="0.25">
      <c r="B11" s="33" t="s">
        <v>137</v>
      </c>
      <c r="C11" s="35"/>
      <c r="D11" s="35"/>
      <c r="E11" s="81">
        <f>'Case - Solving&amp;Explanation'!B105</f>
        <v>3208734.75</v>
      </c>
      <c r="G11" s="27" t="s">
        <v>101</v>
      </c>
      <c r="H11" s="68">
        <f>'Case - Solving&amp;Explanation'!B140</f>
        <v>5700000</v>
      </c>
      <c r="I11" s="27"/>
      <c r="J11" s="9" t="s">
        <v>102</v>
      </c>
      <c r="K11" s="68">
        <f>'Case 1--&gt;'!F76</f>
        <v>500000</v>
      </c>
      <c r="M11" s="27" t="s">
        <v>146</v>
      </c>
      <c r="N11" s="9"/>
      <c r="O11" s="68" t="s">
        <v>296</v>
      </c>
      <c r="Q11" s="27"/>
      <c r="R11" s="9" t="s">
        <v>43</v>
      </c>
      <c r="S11" s="68">
        <f>'Case - Solving&amp;Explanation'!B205</f>
        <v>57.450190869633424</v>
      </c>
    </row>
    <row r="12" spans="2:19" ht="17" thickTop="1" thickBot="1" x14ac:dyDescent="0.25">
      <c r="B12" s="27" t="s">
        <v>138</v>
      </c>
      <c r="C12" s="9"/>
      <c r="D12" s="9"/>
      <c r="E12" s="68">
        <f>'Case - Solving&amp;Explanation'!B108</f>
        <v>13246315.25</v>
      </c>
      <c r="G12" s="27" t="s">
        <v>103</v>
      </c>
      <c r="H12" s="68">
        <f>'Case - Solving&amp;Explanation'!B143</f>
        <v>50000</v>
      </c>
      <c r="I12" s="27"/>
      <c r="J12" s="2" t="s">
        <v>104</v>
      </c>
      <c r="K12" s="69">
        <f>E14+'Case 1--&gt;'!F77</f>
        <v>7546245.4791666698</v>
      </c>
      <c r="M12" s="33" t="s">
        <v>176</v>
      </c>
      <c r="N12" s="35"/>
      <c r="O12" s="81" t="s">
        <v>296</v>
      </c>
      <c r="Q12" s="27"/>
      <c r="R12" s="9" t="s">
        <v>44</v>
      </c>
      <c r="S12" s="68">
        <f>'Case - Solving&amp;Explanation'!B211</f>
        <v>6.3533296317197943</v>
      </c>
    </row>
    <row r="13" spans="2:19" ht="17" thickTop="1" thickBot="1" x14ac:dyDescent="0.25">
      <c r="B13" s="25" t="s">
        <v>139</v>
      </c>
      <c r="C13" s="11"/>
      <c r="D13" s="11"/>
      <c r="E13" s="80">
        <f>'Case - Solving&amp;Explanation'!A113</f>
        <v>9934736.4375</v>
      </c>
      <c r="G13" s="33"/>
      <c r="H13" s="83"/>
      <c r="I13" s="33"/>
      <c r="J13" s="35" t="s">
        <v>105</v>
      </c>
      <c r="K13" s="81">
        <f>K11+K12</f>
        <v>8046245.4791666698</v>
      </c>
      <c r="M13" s="27" t="s">
        <v>147</v>
      </c>
      <c r="N13" s="9"/>
      <c r="O13" s="68">
        <f>SUM(O10:O12)</f>
        <v>-500000</v>
      </c>
      <c r="Q13" s="92" t="s">
        <v>45</v>
      </c>
      <c r="R13" s="93"/>
      <c r="S13" s="94"/>
    </row>
    <row r="14" spans="2:19" ht="16" thickTop="1" x14ac:dyDescent="0.2">
      <c r="B14" s="29" t="s">
        <v>140</v>
      </c>
      <c r="C14" s="2"/>
      <c r="D14" s="2"/>
      <c r="E14" s="69">
        <f>'Case - Solving&amp;Explanation'!B115</f>
        <v>3311578.8125</v>
      </c>
      <c r="G14" s="29" t="s">
        <v>106</v>
      </c>
      <c r="H14" s="69">
        <f>H8+H10+H12-H11</f>
        <v>15202164.48</v>
      </c>
      <c r="I14" s="29"/>
      <c r="J14" s="2" t="s">
        <v>107</v>
      </c>
      <c r="K14" s="69">
        <f>K13+K8</f>
        <v>15202164.47916667</v>
      </c>
      <c r="M14" s="27"/>
      <c r="N14" s="9"/>
      <c r="O14" s="28"/>
      <c r="Q14" s="27"/>
      <c r="R14" s="9" t="s">
        <v>46</v>
      </c>
      <c r="S14" s="68">
        <f>'Case - Solving&amp;Explanation'!B216</f>
        <v>0.14152046207264957</v>
      </c>
    </row>
    <row r="15" spans="2:19" x14ac:dyDescent="0.2">
      <c r="M15" s="104" t="s">
        <v>148</v>
      </c>
      <c r="N15" s="105"/>
      <c r="O15" s="106"/>
      <c r="Q15" s="27"/>
      <c r="R15" s="9" t="s">
        <v>47</v>
      </c>
      <c r="S15" s="68">
        <f>'Case - Solving&amp;Explanation'!B220</f>
        <v>0.19849946581196581</v>
      </c>
    </row>
    <row r="16" spans="2:19" x14ac:dyDescent="0.2">
      <c r="M16" s="27" t="s">
        <v>149</v>
      </c>
      <c r="N16" s="9"/>
      <c r="O16" s="68">
        <f>'Case - Solving&amp;Explanation'!C168</f>
        <v>200000</v>
      </c>
      <c r="Q16" s="27"/>
      <c r="R16" s="9" t="s">
        <v>48</v>
      </c>
      <c r="S16" s="68">
        <f>'Case - Solving&amp;Explanation'!B225</f>
        <v>0.41313034188034187</v>
      </c>
    </row>
    <row r="17" spans="10:19" ht="16" thickBot="1" x14ac:dyDescent="0.25">
      <c r="M17" s="33" t="s">
        <v>133</v>
      </c>
      <c r="N17" s="35"/>
      <c r="O17" s="81">
        <f>-E13</f>
        <v>-9934736.4375</v>
      </c>
      <c r="Q17" s="27"/>
      <c r="R17" s="9" t="s">
        <v>49</v>
      </c>
      <c r="S17" s="68">
        <f>'Case - Solving&amp;Explanation'!B248</f>
        <v>1.0374282677378353</v>
      </c>
    </row>
    <row r="18" spans="10:19" ht="16" thickTop="1" x14ac:dyDescent="0.2">
      <c r="J18" s="87"/>
      <c r="M18" s="29" t="s">
        <v>150</v>
      </c>
      <c r="N18" s="2"/>
      <c r="O18" s="69">
        <f>O16+O17</f>
        <v>-9734736.4375</v>
      </c>
      <c r="Q18" s="27"/>
      <c r="R18" s="9" t="s">
        <v>50</v>
      </c>
      <c r="S18" s="68">
        <f>'Case - Solving&amp;Explanation'!B252</f>
        <v>26.492630500000001</v>
      </c>
    </row>
    <row r="19" spans="10:19" x14ac:dyDescent="0.2">
      <c r="M19" s="25"/>
      <c r="N19" s="11"/>
      <c r="O19" s="32"/>
      <c r="Q19" s="92" t="s">
        <v>51</v>
      </c>
      <c r="R19" s="93"/>
      <c r="S19" s="94"/>
    </row>
    <row r="20" spans="10:19" x14ac:dyDescent="0.2">
      <c r="M20" s="63" t="s">
        <v>151</v>
      </c>
      <c r="N20" s="1"/>
      <c r="O20" s="84">
        <f>O18+O13+O7</f>
        <v>4967197.8125</v>
      </c>
      <c r="Q20" s="27"/>
      <c r="R20" s="9" t="s">
        <v>52</v>
      </c>
      <c r="S20" s="68">
        <f>'Case - Solving&amp;Explanation'!B231</f>
        <v>0.47071711461972027</v>
      </c>
    </row>
    <row r="21" spans="10:19" x14ac:dyDescent="0.2">
      <c r="Q21" s="27"/>
      <c r="R21" s="9" t="s">
        <v>53</v>
      </c>
      <c r="S21" s="68">
        <f>'Case - Solving&amp;Explanation'!B235</f>
        <v>0.88934882965329576</v>
      </c>
    </row>
    <row r="22" spans="10:19" x14ac:dyDescent="0.2">
      <c r="Q22" s="29"/>
      <c r="R22" s="2" t="s">
        <v>134</v>
      </c>
      <c r="S22" s="69">
        <f>'Case - Solving&amp;Explanation'!B242</f>
        <v>51.708936825885978</v>
      </c>
    </row>
  </sheetData>
  <mergeCells count="10">
    <mergeCell ref="Q3:S3"/>
    <mergeCell ref="Q7:S7"/>
    <mergeCell ref="Q13:S13"/>
    <mergeCell ref="Q19:S19"/>
    <mergeCell ref="G2:H3"/>
    <mergeCell ref="I2:K3"/>
    <mergeCell ref="J10:K10"/>
    <mergeCell ref="M2:O3"/>
    <mergeCell ref="M9:O9"/>
    <mergeCell ref="M15:O15"/>
  </mergeCells>
  <pageMargins left="0.7" right="0.7" top="0.75" bottom="0.75" header="0.3" footer="0.3"/>
  <ignoredErrors>
    <ignoredError sqref="E9"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K254"/>
  <sheetViews>
    <sheetView showGridLines="0" tabSelected="1" topLeftCell="A149" workbookViewId="0">
      <selection activeCell="B252" sqref="B252"/>
    </sheetView>
  </sheetViews>
  <sheetFormatPr baseColWidth="10" defaultColWidth="8.83203125" defaultRowHeight="15" x14ac:dyDescent="0.2"/>
  <cols>
    <col min="1" max="1" width="34.6640625" customWidth="1"/>
    <col min="2" max="2" width="21.5" customWidth="1"/>
    <col min="3" max="3" width="21.1640625" customWidth="1"/>
    <col min="4" max="4" width="22.83203125" customWidth="1"/>
    <col min="5" max="5" width="17.5" customWidth="1"/>
    <col min="6" max="6" width="26" customWidth="1"/>
    <col min="7" max="7" width="24.1640625" customWidth="1"/>
    <col min="8" max="8" width="23.33203125" customWidth="1"/>
    <col min="9" max="9" width="21.33203125" customWidth="1"/>
    <col min="10" max="10" width="8.83203125" customWidth="1"/>
  </cols>
  <sheetData>
    <row r="1" spans="1:11" x14ac:dyDescent="0.2">
      <c r="A1" t="s">
        <v>154</v>
      </c>
    </row>
    <row r="2" spans="1:11" x14ac:dyDescent="0.2">
      <c r="A2" t="s">
        <v>153</v>
      </c>
    </row>
    <row r="3" spans="1:11" x14ac:dyDescent="0.2">
      <c r="A3" s="138" t="s">
        <v>123</v>
      </c>
      <c r="B3" s="137"/>
      <c r="C3" s="137"/>
      <c r="D3" s="137"/>
      <c r="E3" s="137"/>
      <c r="F3" s="137"/>
      <c r="G3" s="137"/>
      <c r="H3" s="110"/>
      <c r="I3" s="110"/>
      <c r="J3" s="110"/>
      <c r="K3" s="110"/>
    </row>
    <row r="4" spans="1:11" x14ac:dyDescent="0.2">
      <c r="A4" s="111" t="s">
        <v>234</v>
      </c>
      <c r="B4" s="112">
        <f>G13</f>
        <v>93600000</v>
      </c>
      <c r="C4" s="112"/>
      <c r="D4" s="112"/>
      <c r="E4" s="112"/>
      <c r="F4" s="112"/>
      <c r="G4" s="112"/>
      <c r="H4" s="110"/>
      <c r="I4" s="110"/>
      <c r="J4" s="110"/>
      <c r="K4" s="110"/>
    </row>
    <row r="5" spans="1:11" x14ac:dyDescent="0.2">
      <c r="C5" s="79"/>
    </row>
    <row r="6" spans="1:11" x14ac:dyDescent="0.2">
      <c r="A6" t="s">
        <v>163</v>
      </c>
    </row>
    <row r="7" spans="1:11" x14ac:dyDescent="0.2">
      <c r="A7" s="113"/>
      <c r="B7" s="114">
        <v>2018</v>
      </c>
      <c r="C7" s="113"/>
      <c r="E7" s="113"/>
      <c r="F7" s="114">
        <v>2019</v>
      </c>
      <c r="G7" s="113"/>
    </row>
    <row r="8" spans="1:11" x14ac:dyDescent="0.2">
      <c r="A8" s="13" t="s">
        <v>54</v>
      </c>
      <c r="B8" s="53" t="s">
        <v>55</v>
      </c>
      <c r="C8" s="60" t="s">
        <v>56</v>
      </c>
      <c r="E8" s="13" t="s">
        <v>54</v>
      </c>
      <c r="F8" s="53" t="s">
        <v>55</v>
      </c>
      <c r="G8" s="60" t="s">
        <v>56</v>
      </c>
    </row>
    <row r="9" spans="1:11" x14ac:dyDescent="0.2">
      <c r="A9" s="16" t="s">
        <v>57</v>
      </c>
      <c r="B9" s="49">
        <v>3000</v>
      </c>
      <c r="C9" s="57">
        <v>15000</v>
      </c>
      <c r="E9" s="16" t="s">
        <v>57</v>
      </c>
      <c r="F9" s="49">
        <v>3200</v>
      </c>
      <c r="G9" s="57">
        <f>C9*1.2</f>
        <v>18000</v>
      </c>
    </row>
    <row r="10" spans="1:11" x14ac:dyDescent="0.2">
      <c r="A10" s="16" t="s">
        <v>58</v>
      </c>
      <c r="B10" s="49">
        <v>2000</v>
      </c>
      <c r="C10" s="57">
        <v>10000</v>
      </c>
      <c r="E10" s="16" t="s">
        <v>58</v>
      </c>
      <c r="F10" s="49">
        <v>1800</v>
      </c>
      <c r="G10" s="57">
        <f t="shared" ref="G10:G11" si="0">C10*1.2</f>
        <v>12000</v>
      </c>
    </row>
    <row r="11" spans="1:11" x14ac:dyDescent="0.2">
      <c r="A11" s="18" t="s">
        <v>59</v>
      </c>
      <c r="B11" s="51">
        <v>1000</v>
      </c>
      <c r="C11" s="58">
        <v>12000</v>
      </c>
      <c r="E11" s="18" t="s">
        <v>59</v>
      </c>
      <c r="F11" s="51">
        <v>1000</v>
      </c>
      <c r="G11" s="58">
        <f t="shared" si="0"/>
        <v>14400</v>
      </c>
    </row>
    <row r="13" spans="1:11" ht="16" x14ac:dyDescent="0.2">
      <c r="B13" t="s">
        <v>235</v>
      </c>
      <c r="C13">
        <f xml:space="preserve"> B9*C9+B10*C10+B11*C11</f>
        <v>77000000</v>
      </c>
      <c r="F13" t="s">
        <v>234</v>
      </c>
      <c r="G13" s="115">
        <f>F9*G9+F10*G10+F11*G11</f>
        <v>93600000</v>
      </c>
    </row>
    <row r="15" spans="1:11" x14ac:dyDescent="0.2">
      <c r="A15" t="s">
        <v>236</v>
      </c>
      <c r="B15" t="s">
        <v>239</v>
      </c>
    </row>
    <row r="18" spans="1:11" x14ac:dyDescent="0.2">
      <c r="A18" s="116" t="s">
        <v>126</v>
      </c>
      <c r="B18" s="112">
        <f>B46</f>
        <v>54931000</v>
      </c>
      <c r="C18" s="112"/>
      <c r="D18" s="112"/>
      <c r="E18" s="112"/>
      <c r="F18" s="112"/>
      <c r="G18" s="112"/>
      <c r="H18" s="110"/>
      <c r="I18" s="110"/>
      <c r="J18" s="110"/>
      <c r="K18" s="110"/>
    </row>
    <row r="20" spans="1:11" x14ac:dyDescent="0.2">
      <c r="A20" t="s">
        <v>237</v>
      </c>
      <c r="B20" s="118" t="s">
        <v>238</v>
      </c>
    </row>
    <row r="22" spans="1:11" x14ac:dyDescent="0.2">
      <c r="A22" s="124" t="s">
        <v>240</v>
      </c>
    </row>
    <row r="24" spans="1:11" x14ac:dyDescent="0.2">
      <c r="A24" s="119" t="s">
        <v>108</v>
      </c>
      <c r="B24" s="120"/>
      <c r="C24" s="120"/>
      <c r="D24" s="120"/>
      <c r="F24" s="121" t="s">
        <v>241</v>
      </c>
      <c r="G24" s="120"/>
    </row>
    <row r="25" spans="1:11" x14ac:dyDescent="0.2">
      <c r="A25" s="13"/>
      <c r="B25" s="60" t="s">
        <v>60</v>
      </c>
      <c r="C25" s="60" t="s">
        <v>61</v>
      </c>
      <c r="D25" s="54" t="s">
        <v>62</v>
      </c>
      <c r="F25" s="13"/>
      <c r="G25" s="54"/>
    </row>
    <row r="26" spans="1:11" x14ac:dyDescent="0.2">
      <c r="A26" s="16" t="s">
        <v>63</v>
      </c>
      <c r="B26" s="57">
        <v>10</v>
      </c>
      <c r="C26" s="57">
        <v>5</v>
      </c>
      <c r="D26" s="50">
        <v>12</v>
      </c>
      <c r="F26" s="16" t="s">
        <v>69</v>
      </c>
      <c r="G26" s="50">
        <v>75</v>
      </c>
    </row>
    <row r="27" spans="1:11" x14ac:dyDescent="0.2">
      <c r="A27" s="16" t="s">
        <v>64</v>
      </c>
      <c r="B27" s="57">
        <v>10</v>
      </c>
      <c r="C27" s="57">
        <v>12</v>
      </c>
      <c r="D27" s="50">
        <v>12</v>
      </c>
      <c r="F27" s="16" t="s">
        <v>70</v>
      </c>
      <c r="G27" s="50">
        <v>100</v>
      </c>
    </row>
    <row r="28" spans="1:11" x14ac:dyDescent="0.2">
      <c r="A28" s="16" t="s">
        <v>65</v>
      </c>
      <c r="B28" s="57">
        <v>40</v>
      </c>
      <c r="C28" s="57">
        <v>30</v>
      </c>
      <c r="D28" s="50">
        <v>60</v>
      </c>
      <c r="F28" s="16" t="s">
        <v>160</v>
      </c>
      <c r="G28" s="50">
        <v>150</v>
      </c>
    </row>
    <row r="29" spans="1:11" x14ac:dyDescent="0.2">
      <c r="A29" s="16" t="s">
        <v>66</v>
      </c>
      <c r="B29" s="57">
        <v>0</v>
      </c>
      <c r="C29" s="57">
        <v>20</v>
      </c>
      <c r="D29" s="50">
        <v>0</v>
      </c>
      <c r="F29" s="16" t="s">
        <v>71</v>
      </c>
      <c r="G29" s="50">
        <v>125</v>
      </c>
    </row>
    <row r="30" spans="1:11" x14ac:dyDescent="0.2">
      <c r="A30" s="16" t="s">
        <v>67</v>
      </c>
      <c r="B30" s="57">
        <v>0</v>
      </c>
      <c r="C30" s="57">
        <v>0</v>
      </c>
      <c r="D30" s="50">
        <v>30</v>
      </c>
      <c r="F30" s="16" t="s">
        <v>72</v>
      </c>
      <c r="G30" s="50">
        <v>50</v>
      </c>
    </row>
    <row r="31" spans="1:11" x14ac:dyDescent="0.2">
      <c r="A31" s="18" t="s">
        <v>68</v>
      </c>
      <c r="B31" s="58">
        <v>4</v>
      </c>
      <c r="C31" s="58">
        <v>0</v>
      </c>
      <c r="D31" s="52">
        <v>0</v>
      </c>
      <c r="F31" s="18" t="s">
        <v>73</v>
      </c>
      <c r="G31" s="52">
        <v>100</v>
      </c>
    </row>
    <row r="32" spans="1:11" x14ac:dyDescent="0.2">
      <c r="F32" s="19" t="s">
        <v>165</v>
      </c>
    </row>
    <row r="33" spans="1:11" x14ac:dyDescent="0.2">
      <c r="A33" s="85"/>
      <c r="B33" s="120"/>
      <c r="C33" s="122">
        <v>2019</v>
      </c>
      <c r="D33" s="120"/>
      <c r="E33" s="120"/>
    </row>
    <row r="34" spans="1:11" x14ac:dyDescent="0.2">
      <c r="B34" s="13" t="s">
        <v>54</v>
      </c>
      <c r="C34" s="53" t="s">
        <v>55</v>
      </c>
      <c r="D34" s="60" t="s">
        <v>242</v>
      </c>
      <c r="E34" s="13" t="s">
        <v>243</v>
      </c>
    </row>
    <row r="35" spans="1:11" x14ac:dyDescent="0.2">
      <c r="B35" s="16" t="s">
        <v>57</v>
      </c>
      <c r="C35" s="49">
        <v>3200</v>
      </c>
      <c r="D35" s="57">
        <f>SUMPRODUCT(B26:B31,G26:G31)</f>
        <v>8150</v>
      </c>
      <c r="E35" s="22">
        <f>C35*D35</f>
        <v>26080000</v>
      </c>
    </row>
    <row r="36" spans="1:11" x14ac:dyDescent="0.2">
      <c r="B36" s="16" t="s">
        <v>58</v>
      </c>
      <c r="C36" s="49">
        <v>1800</v>
      </c>
      <c r="D36" s="57">
        <f>SUMPRODUCT(C26:C31,G26:G31)</f>
        <v>8575</v>
      </c>
      <c r="E36" s="16">
        <f t="shared" ref="E36:E37" si="1">C36*D36</f>
        <v>15435000</v>
      </c>
    </row>
    <row r="37" spans="1:11" x14ac:dyDescent="0.2">
      <c r="B37" s="18" t="s">
        <v>59</v>
      </c>
      <c r="C37" s="51">
        <v>1000</v>
      </c>
      <c r="D37" s="58">
        <f>SUMPRODUCT(D26:D31,G26:G31)</f>
        <v>12600</v>
      </c>
      <c r="E37" s="18">
        <f t="shared" si="1"/>
        <v>12600000</v>
      </c>
    </row>
    <row r="38" spans="1:11" x14ac:dyDescent="0.2">
      <c r="D38" s="123" t="s">
        <v>244</v>
      </c>
      <c r="E38">
        <f>SUM(E35:E37)</f>
        <v>54115000</v>
      </c>
    </row>
    <row r="39" spans="1:11" x14ac:dyDescent="0.2">
      <c r="B39" s="86"/>
    </row>
    <row r="40" spans="1:11" x14ac:dyDescent="0.2">
      <c r="A40" s="3" t="s">
        <v>282</v>
      </c>
      <c r="B40">
        <f>E38</f>
        <v>54115000</v>
      </c>
    </row>
    <row r="41" spans="1:11" x14ac:dyDescent="0.2">
      <c r="A41" s="85"/>
    </row>
    <row r="42" spans="1:11" x14ac:dyDescent="0.2">
      <c r="A42" s="3" t="s">
        <v>245</v>
      </c>
      <c r="B42">
        <f xml:space="preserve"> 5000*10*12</f>
        <v>600000</v>
      </c>
      <c r="D42" t="s">
        <v>246</v>
      </c>
    </row>
    <row r="44" spans="1:11" x14ac:dyDescent="0.2">
      <c r="A44" t="s">
        <v>247</v>
      </c>
      <c r="B44">
        <f>F57*G57*12</f>
        <v>216000</v>
      </c>
    </row>
    <row r="46" spans="1:11" x14ac:dyDescent="0.2">
      <c r="A46" s="3" t="s">
        <v>265</v>
      </c>
      <c r="B46">
        <f>B40+B42+B44</f>
        <v>54931000</v>
      </c>
    </row>
    <row r="48" spans="1:11" x14ac:dyDescent="0.2">
      <c r="A48" s="116" t="s">
        <v>127</v>
      </c>
      <c r="B48" s="112">
        <f>B50</f>
        <v>38669000</v>
      </c>
      <c r="C48" s="112"/>
      <c r="D48" s="112"/>
      <c r="E48" s="112"/>
      <c r="F48" s="112"/>
      <c r="G48" s="112"/>
      <c r="H48" s="110"/>
      <c r="I48" s="110"/>
      <c r="J48" s="110"/>
      <c r="K48" s="110"/>
    </row>
    <row r="49" spans="1:11" x14ac:dyDescent="0.2">
      <c r="A49" t="s">
        <v>255</v>
      </c>
      <c r="H49" s="110"/>
      <c r="I49" s="110"/>
      <c r="J49" s="110"/>
      <c r="K49" s="110"/>
    </row>
    <row r="50" spans="1:11" x14ac:dyDescent="0.2">
      <c r="A50" t="s">
        <v>256</v>
      </c>
      <c r="B50">
        <f xml:space="preserve"> G13-B46</f>
        <v>38669000</v>
      </c>
      <c r="H50" s="110"/>
      <c r="I50" s="110"/>
      <c r="J50" s="110"/>
      <c r="K50" s="110"/>
    </row>
    <row r="51" spans="1:11" x14ac:dyDescent="0.2">
      <c r="H51" s="110"/>
      <c r="I51" s="110"/>
      <c r="J51" s="110"/>
      <c r="K51" s="110"/>
    </row>
    <row r="52" spans="1:11" x14ac:dyDescent="0.2">
      <c r="H52" s="110"/>
      <c r="I52" s="110"/>
      <c r="J52" s="110"/>
      <c r="K52" s="110"/>
    </row>
    <row r="53" spans="1:11" x14ac:dyDescent="0.2">
      <c r="A53" s="116" t="s">
        <v>182</v>
      </c>
      <c r="B53" s="112">
        <f>B65</f>
        <v>20089450</v>
      </c>
      <c r="C53" s="112"/>
      <c r="D53" s="112"/>
      <c r="E53" s="112"/>
      <c r="F53" s="112"/>
      <c r="G53" s="112"/>
      <c r="H53" s="110"/>
      <c r="I53" s="110"/>
      <c r="J53" s="110"/>
      <c r="K53" s="110"/>
    </row>
    <row r="55" spans="1:11" x14ac:dyDescent="0.2">
      <c r="E55" s="120" t="s">
        <v>248</v>
      </c>
      <c r="F55" s="120"/>
      <c r="G55" s="120"/>
    </row>
    <row r="56" spans="1:11" x14ac:dyDescent="0.2">
      <c r="A56" t="s">
        <v>263</v>
      </c>
      <c r="C56">
        <f>0.05*B50</f>
        <v>1933450</v>
      </c>
      <c r="E56" s="13"/>
      <c r="F56" s="60" t="s">
        <v>74</v>
      </c>
      <c r="G56" s="54" t="s">
        <v>75</v>
      </c>
    </row>
    <row r="57" spans="1:11" x14ac:dyDescent="0.2">
      <c r="A57" s="125" t="s">
        <v>249</v>
      </c>
      <c r="C57" s="79">
        <f xml:space="preserve"> SUMPRODUCT(F62:F63,G62:G63)*12</f>
        <v>900000</v>
      </c>
      <c r="E57" s="16" t="s">
        <v>76</v>
      </c>
      <c r="F57" s="57">
        <v>300</v>
      </c>
      <c r="G57" s="50">
        <v>60</v>
      </c>
    </row>
    <row r="58" spans="1:11" x14ac:dyDescent="0.2">
      <c r="A58" t="s">
        <v>250</v>
      </c>
      <c r="C58">
        <f>(F58*G58)*12</f>
        <v>120000</v>
      </c>
      <c r="E58" s="18" t="s">
        <v>77</v>
      </c>
      <c r="F58" s="58">
        <v>100</v>
      </c>
      <c r="G58" s="52">
        <v>100</v>
      </c>
    </row>
    <row r="59" spans="1:11" x14ac:dyDescent="0.2">
      <c r="A59" t="s">
        <v>251</v>
      </c>
    </row>
    <row r="60" spans="1:11" x14ac:dyDescent="0.2">
      <c r="A60" t="s">
        <v>252</v>
      </c>
      <c r="C60">
        <v>15000000</v>
      </c>
      <c r="E60" s="120" t="s">
        <v>257</v>
      </c>
      <c r="F60" s="120"/>
      <c r="G60" s="120"/>
    </row>
    <row r="61" spans="1:11" x14ac:dyDescent="0.2">
      <c r="A61" t="s">
        <v>253</v>
      </c>
      <c r="C61">
        <f>G13*0.01</f>
        <v>936000</v>
      </c>
      <c r="E61" s="22"/>
      <c r="F61" s="128" t="s">
        <v>258</v>
      </c>
      <c r="G61" s="129" t="s">
        <v>259</v>
      </c>
    </row>
    <row r="62" spans="1:11" x14ac:dyDescent="0.2">
      <c r="A62" t="s">
        <v>254</v>
      </c>
      <c r="C62">
        <v>1200000</v>
      </c>
      <c r="E62" s="25" t="s">
        <v>260</v>
      </c>
      <c r="F62" s="56">
        <v>1</v>
      </c>
      <c r="G62" s="126">
        <v>12000</v>
      </c>
    </row>
    <row r="63" spans="1:11" x14ac:dyDescent="0.2">
      <c r="E63" s="27" t="s">
        <v>261</v>
      </c>
      <c r="F63" s="57">
        <v>9</v>
      </c>
      <c r="G63" s="50">
        <v>7000</v>
      </c>
    </row>
    <row r="64" spans="1:11" x14ac:dyDescent="0.2">
      <c r="E64" s="127" t="s">
        <v>262</v>
      </c>
      <c r="F64" s="18">
        <v>10</v>
      </c>
      <c r="G64" s="23">
        <v>5000</v>
      </c>
    </row>
    <row r="65" spans="1:11" x14ac:dyDescent="0.2">
      <c r="A65" s="3" t="s">
        <v>264</v>
      </c>
      <c r="B65">
        <f xml:space="preserve"> SUM(C56:C63)</f>
        <v>20089450</v>
      </c>
    </row>
    <row r="67" spans="1:11" x14ac:dyDescent="0.2">
      <c r="A67" s="116" t="s">
        <v>128</v>
      </c>
      <c r="B67" s="112">
        <f>B65</f>
        <v>20089450</v>
      </c>
      <c r="C67" s="112"/>
      <c r="D67" s="112"/>
      <c r="E67" s="112"/>
      <c r="F67" s="112"/>
      <c r="G67" s="112"/>
      <c r="H67" s="110"/>
      <c r="I67" s="110"/>
      <c r="J67" s="110"/>
      <c r="K67" s="110"/>
    </row>
    <row r="68" spans="1:11" x14ac:dyDescent="0.2">
      <c r="H68" s="110"/>
      <c r="I68" s="110"/>
      <c r="J68" s="110"/>
      <c r="K68" s="110"/>
    </row>
    <row r="69" spans="1:11" x14ac:dyDescent="0.2">
      <c r="A69" t="s">
        <v>266</v>
      </c>
      <c r="B69">
        <f>B50-B65</f>
        <v>18579550</v>
      </c>
      <c r="H69" s="110"/>
      <c r="I69" s="110"/>
      <c r="J69" s="110"/>
      <c r="K69" s="110"/>
    </row>
    <row r="70" spans="1:11" x14ac:dyDescent="0.2">
      <c r="H70" s="110"/>
      <c r="I70" s="110"/>
      <c r="J70" s="110"/>
      <c r="K70" s="110"/>
    </row>
    <row r="71" spans="1:11" x14ac:dyDescent="0.2">
      <c r="H71" s="110"/>
      <c r="I71" s="110"/>
      <c r="J71" s="110"/>
      <c r="K71" s="110"/>
    </row>
    <row r="72" spans="1:11" x14ac:dyDescent="0.2">
      <c r="A72" s="116" t="s">
        <v>136</v>
      </c>
      <c r="B72" s="139">
        <f>G81</f>
        <v>1800000</v>
      </c>
      <c r="C72" s="112"/>
      <c r="D72" s="112"/>
      <c r="E72" s="112"/>
      <c r="F72" s="112"/>
      <c r="G72" s="112"/>
      <c r="H72" s="110"/>
      <c r="I72" s="110"/>
      <c r="J72" s="110"/>
      <c r="K72" s="110"/>
    </row>
    <row r="73" spans="1:11" x14ac:dyDescent="0.2">
      <c r="A73" t="s">
        <v>268</v>
      </c>
      <c r="H73" s="110"/>
      <c r="I73" s="110"/>
      <c r="J73" s="110"/>
      <c r="K73" s="110"/>
    </row>
    <row r="74" spans="1:11" x14ac:dyDescent="0.2">
      <c r="H74" s="110"/>
      <c r="I74" s="110"/>
      <c r="J74" s="110"/>
      <c r="K74" s="110"/>
    </row>
    <row r="75" spans="1:11" ht="16" x14ac:dyDescent="0.2">
      <c r="B75" s="13"/>
      <c r="C75" s="55" t="s">
        <v>78</v>
      </c>
      <c r="D75" s="55" t="s">
        <v>79</v>
      </c>
      <c r="E75" s="55" t="s">
        <v>80</v>
      </c>
      <c r="F75" s="55" t="s">
        <v>81</v>
      </c>
      <c r="G75" s="130" t="s">
        <v>267</v>
      </c>
      <c r="H75" s="110"/>
      <c r="I75" s="110"/>
      <c r="J75" s="110"/>
      <c r="K75" s="110"/>
    </row>
    <row r="76" spans="1:11" x14ac:dyDescent="0.2">
      <c r="B76" s="22" t="s">
        <v>82</v>
      </c>
      <c r="C76" s="56">
        <v>2500000</v>
      </c>
      <c r="D76" s="56">
        <v>5</v>
      </c>
      <c r="E76" s="56">
        <v>2017</v>
      </c>
      <c r="F76" s="56">
        <v>1500000</v>
      </c>
      <c r="G76" s="131">
        <f>(C76-F76)/D76</f>
        <v>200000</v>
      </c>
      <c r="H76" s="110"/>
      <c r="I76" s="110"/>
      <c r="J76" s="110"/>
      <c r="K76" s="110"/>
    </row>
    <row r="77" spans="1:11" x14ac:dyDescent="0.2">
      <c r="B77" s="16" t="s">
        <v>83</v>
      </c>
      <c r="C77" s="57">
        <v>2000000</v>
      </c>
      <c r="D77" s="57">
        <v>5</v>
      </c>
      <c r="E77" s="57">
        <v>2018</v>
      </c>
      <c r="F77" s="57">
        <v>1000000</v>
      </c>
      <c r="G77" s="132">
        <f t="shared" ref="G77:G78" si="2">(C77-F77)/D77</f>
        <v>200000</v>
      </c>
      <c r="H77" s="110"/>
      <c r="I77" s="110"/>
      <c r="J77" s="110"/>
      <c r="K77" s="110"/>
    </row>
    <row r="78" spans="1:11" x14ac:dyDescent="0.2">
      <c r="B78" s="16" t="s">
        <v>84</v>
      </c>
      <c r="C78" s="57">
        <v>5000000</v>
      </c>
      <c r="D78" s="57">
        <v>5</v>
      </c>
      <c r="E78" s="57">
        <v>2016</v>
      </c>
      <c r="F78" s="57">
        <v>2000000</v>
      </c>
      <c r="G78" s="132">
        <f t="shared" si="2"/>
        <v>600000</v>
      </c>
      <c r="H78" s="110"/>
      <c r="I78" s="110"/>
      <c r="J78" s="110"/>
      <c r="K78" s="110"/>
    </row>
    <row r="79" spans="1:11" x14ac:dyDescent="0.2">
      <c r="B79" s="18" t="s">
        <v>85</v>
      </c>
      <c r="C79" s="58">
        <v>3000000</v>
      </c>
      <c r="D79" s="58">
        <v>4</v>
      </c>
      <c r="E79" s="58">
        <v>2017</v>
      </c>
      <c r="F79" s="58">
        <v>0</v>
      </c>
      <c r="G79" s="133">
        <f>(C79-F79)/D79</f>
        <v>750000</v>
      </c>
      <c r="H79" s="110"/>
      <c r="I79" s="110"/>
      <c r="J79" s="110"/>
      <c r="K79" s="110"/>
    </row>
    <row r="80" spans="1:11" x14ac:dyDescent="0.2">
      <c r="B80" s="18" t="s">
        <v>269</v>
      </c>
      <c r="C80" s="58">
        <v>500000</v>
      </c>
      <c r="D80" s="58">
        <v>4</v>
      </c>
      <c r="E80" s="58">
        <v>2019</v>
      </c>
      <c r="F80" s="58">
        <f>C80*0.6</f>
        <v>300000</v>
      </c>
      <c r="G80" s="133">
        <f>(C80-F80)/D80</f>
        <v>50000</v>
      </c>
      <c r="H80" s="110"/>
      <c r="I80" s="110"/>
      <c r="J80" s="110"/>
      <c r="K80" s="110"/>
    </row>
    <row r="81" spans="1:11" x14ac:dyDescent="0.2">
      <c r="B81" s="18" t="s">
        <v>3</v>
      </c>
      <c r="C81" s="58">
        <f>SUM(C76:C80)</f>
        <v>13000000</v>
      </c>
      <c r="D81" s="59"/>
      <c r="E81" s="59"/>
      <c r="F81" s="59"/>
      <c r="G81" s="134">
        <f>SUM(G76:G80)</f>
        <v>1800000</v>
      </c>
      <c r="H81" s="110"/>
      <c r="I81" s="110"/>
      <c r="J81" s="110"/>
      <c r="K81" s="110"/>
    </row>
    <row r="82" spans="1:11" x14ac:dyDescent="0.2">
      <c r="H82" s="110"/>
      <c r="I82" s="110"/>
      <c r="J82" s="110"/>
      <c r="K82" s="110"/>
    </row>
    <row r="83" spans="1:11" x14ac:dyDescent="0.2">
      <c r="H83" s="110"/>
      <c r="I83" s="110"/>
      <c r="J83" s="110"/>
      <c r="K83" s="110"/>
    </row>
    <row r="84" spans="1:11" x14ac:dyDescent="0.2">
      <c r="A84" t="s">
        <v>270</v>
      </c>
      <c r="B84" s="79">
        <f>G81</f>
        <v>1800000</v>
      </c>
      <c r="H84" s="110"/>
      <c r="I84" s="110"/>
      <c r="J84" s="110"/>
      <c r="K84" s="110"/>
    </row>
    <row r="85" spans="1:11" x14ac:dyDescent="0.2">
      <c r="B85" s="79"/>
      <c r="H85" s="110"/>
      <c r="I85" s="110"/>
      <c r="J85" s="110"/>
      <c r="K85" s="110"/>
    </row>
    <row r="86" spans="1:11" x14ac:dyDescent="0.2">
      <c r="A86" s="116" t="s">
        <v>292</v>
      </c>
      <c r="B86" s="139">
        <f>B69-B84</f>
        <v>16779550</v>
      </c>
      <c r="C86" s="112"/>
      <c r="D86" s="112"/>
      <c r="E86" s="112"/>
      <c r="F86" s="112"/>
      <c r="G86" s="112"/>
      <c r="H86" s="110"/>
      <c r="I86" s="110"/>
      <c r="J86" s="110"/>
      <c r="K86" s="110"/>
    </row>
    <row r="87" spans="1:11" x14ac:dyDescent="0.2">
      <c r="A87" t="s">
        <v>275</v>
      </c>
      <c r="H87" s="110"/>
      <c r="I87" s="110"/>
      <c r="J87" s="110"/>
      <c r="K87" s="110"/>
    </row>
    <row r="88" spans="1:11" x14ac:dyDescent="0.2">
      <c r="H88" s="110"/>
      <c r="I88" s="110"/>
      <c r="J88" s="110"/>
      <c r="K88" s="110"/>
    </row>
    <row r="89" spans="1:11" x14ac:dyDescent="0.2">
      <c r="A89" s="116" t="s">
        <v>130</v>
      </c>
      <c r="B89" s="112">
        <f>B100</f>
        <v>324500</v>
      </c>
      <c r="C89" s="112"/>
      <c r="D89" s="112"/>
      <c r="E89" s="112"/>
      <c r="F89" s="112"/>
      <c r="G89" s="112"/>
      <c r="H89" s="110"/>
      <c r="I89" s="110"/>
      <c r="J89" s="110"/>
      <c r="K89" s="110"/>
    </row>
    <row r="90" spans="1:11" x14ac:dyDescent="0.2">
      <c r="H90" s="110"/>
      <c r="I90" s="110"/>
      <c r="J90" s="110"/>
      <c r="K90" s="110"/>
    </row>
    <row r="91" spans="1:11" x14ac:dyDescent="0.2">
      <c r="A91" t="s">
        <v>173</v>
      </c>
      <c r="H91" s="110"/>
      <c r="I91" s="110"/>
      <c r="J91" s="110"/>
      <c r="K91" s="110"/>
    </row>
    <row r="92" spans="1:11" x14ac:dyDescent="0.2">
      <c r="A92" t="s">
        <v>114</v>
      </c>
      <c r="H92" s="110"/>
      <c r="I92" s="110"/>
      <c r="J92" s="110"/>
      <c r="K92" s="110"/>
    </row>
    <row r="93" spans="1:11" x14ac:dyDescent="0.2">
      <c r="B93" s="110"/>
      <c r="C93" s="110"/>
      <c r="D93" s="110"/>
      <c r="E93" s="110"/>
      <c r="H93" s="110"/>
      <c r="I93" s="110"/>
      <c r="J93" s="110"/>
      <c r="K93" s="110"/>
    </row>
    <row r="94" spans="1:11" x14ac:dyDescent="0.2">
      <c r="B94" s="22" t="s">
        <v>271</v>
      </c>
      <c r="C94" s="11">
        <v>500000</v>
      </c>
      <c r="D94" s="135">
        <v>0.05</v>
      </c>
      <c r="E94" s="26">
        <f>C94*D94/2</f>
        <v>12500</v>
      </c>
      <c r="H94" s="110"/>
      <c r="I94" s="110"/>
      <c r="J94" s="110"/>
      <c r="K94" s="110"/>
    </row>
    <row r="95" spans="1:11" x14ac:dyDescent="0.2">
      <c r="B95" s="16" t="s">
        <v>346</v>
      </c>
      <c r="C95" s="9">
        <v>300000</v>
      </c>
      <c r="D95" s="136">
        <v>0.04</v>
      </c>
      <c r="E95" s="24">
        <f>C95*D95</f>
        <v>12000</v>
      </c>
      <c r="H95" s="110"/>
      <c r="I95" s="110"/>
      <c r="J95" s="110"/>
      <c r="K95" s="110"/>
    </row>
    <row r="96" spans="1:11" x14ac:dyDescent="0.2">
      <c r="B96" s="16" t="s">
        <v>272</v>
      </c>
      <c r="C96" s="9">
        <v>5000000</v>
      </c>
      <c r="D96" s="136">
        <v>0.06</v>
      </c>
      <c r="E96" s="24">
        <f>C96*D96</f>
        <v>300000</v>
      </c>
      <c r="H96" s="110"/>
      <c r="I96" s="110"/>
      <c r="J96" s="110"/>
      <c r="K96" s="110"/>
    </row>
    <row r="97" spans="1:11" x14ac:dyDescent="0.2">
      <c r="B97" s="13"/>
      <c r="C97" s="14"/>
      <c r="D97" s="14" t="s">
        <v>273</v>
      </c>
      <c r="E97" s="15">
        <f>SUM(E94:E96)</f>
        <v>324500</v>
      </c>
      <c r="H97" s="110"/>
      <c r="I97" s="110"/>
      <c r="J97" s="110"/>
      <c r="K97" s="110"/>
    </row>
    <row r="98" spans="1:11" x14ac:dyDescent="0.2">
      <c r="H98" s="110"/>
      <c r="I98" s="110"/>
      <c r="J98" s="110"/>
      <c r="K98" s="110"/>
    </row>
    <row r="99" spans="1:11" x14ac:dyDescent="0.2">
      <c r="H99" s="110"/>
      <c r="I99" s="110"/>
      <c r="J99" s="110"/>
      <c r="K99" s="110"/>
    </row>
    <row r="100" spans="1:11" x14ac:dyDescent="0.2">
      <c r="A100" t="s">
        <v>274</v>
      </c>
      <c r="B100">
        <f>E97</f>
        <v>324500</v>
      </c>
      <c r="H100" s="110"/>
      <c r="I100" s="110"/>
      <c r="J100" s="110"/>
      <c r="K100" s="110"/>
    </row>
    <row r="101" spans="1:11" x14ac:dyDescent="0.2">
      <c r="H101" s="110"/>
      <c r="I101" s="110"/>
      <c r="J101" s="110"/>
      <c r="K101" s="110"/>
    </row>
    <row r="102" spans="1:11" x14ac:dyDescent="0.2">
      <c r="A102" s="116" t="s">
        <v>289</v>
      </c>
      <c r="B102" s="139">
        <f>B86-B100</f>
        <v>16455050</v>
      </c>
      <c r="C102" s="112"/>
      <c r="D102" s="112"/>
      <c r="E102" s="112"/>
      <c r="F102" s="112"/>
      <c r="G102" s="112"/>
      <c r="H102" s="110"/>
      <c r="I102" s="110"/>
      <c r="J102" s="110"/>
      <c r="K102" s="110"/>
    </row>
    <row r="103" spans="1:11" x14ac:dyDescent="0.2">
      <c r="A103" t="s">
        <v>276</v>
      </c>
      <c r="H103" s="110"/>
      <c r="I103" s="110"/>
      <c r="J103" s="110"/>
      <c r="K103" s="110"/>
    </row>
    <row r="104" spans="1:11" x14ac:dyDescent="0.2">
      <c r="H104" s="110"/>
      <c r="I104" s="110"/>
      <c r="J104" s="110"/>
      <c r="K104" s="110"/>
    </row>
    <row r="105" spans="1:11" x14ac:dyDescent="0.2">
      <c r="A105" s="116" t="s">
        <v>290</v>
      </c>
      <c r="B105" s="139">
        <f>B102*19.5%</f>
        <v>3208734.75</v>
      </c>
      <c r="C105" s="112"/>
      <c r="D105" s="112"/>
      <c r="E105" s="112"/>
      <c r="F105" s="112"/>
      <c r="G105" s="112"/>
      <c r="H105" s="110"/>
      <c r="I105" s="110"/>
      <c r="J105" s="110"/>
      <c r="K105" s="110"/>
    </row>
    <row r="106" spans="1:11" x14ac:dyDescent="0.2">
      <c r="A106" s="21" t="s">
        <v>277</v>
      </c>
      <c r="E106" s="110"/>
      <c r="F106" s="110"/>
      <c r="G106" s="110"/>
      <c r="H106" s="110"/>
      <c r="I106" s="110"/>
      <c r="J106" s="110"/>
      <c r="K106" s="110"/>
    </row>
    <row r="107" spans="1:11" x14ac:dyDescent="0.2">
      <c r="A107" s="21" t="s">
        <v>174</v>
      </c>
      <c r="E107" s="110"/>
      <c r="F107" s="110"/>
      <c r="G107" s="110"/>
      <c r="H107" s="110"/>
      <c r="I107" s="110"/>
      <c r="J107" s="110"/>
      <c r="K107" s="110"/>
    </row>
    <row r="108" spans="1:11" x14ac:dyDescent="0.2">
      <c r="A108" s="116" t="s">
        <v>291</v>
      </c>
      <c r="B108" s="139">
        <f>B102-B105</f>
        <v>13246315.25</v>
      </c>
      <c r="C108" s="112"/>
      <c r="D108" s="112"/>
      <c r="E108" s="112"/>
      <c r="F108" s="112"/>
      <c r="G108" s="112"/>
      <c r="H108" s="110"/>
      <c r="I108" s="110"/>
      <c r="J108" s="110"/>
      <c r="K108" s="110"/>
    </row>
    <row r="109" spans="1:11" x14ac:dyDescent="0.2">
      <c r="A109" s="140" t="s">
        <v>278</v>
      </c>
      <c r="B109" s="141"/>
      <c r="C109" s="110"/>
      <c r="D109" s="110"/>
      <c r="E109" s="110"/>
      <c r="F109" s="110"/>
      <c r="G109" s="110"/>
      <c r="H109" s="110"/>
      <c r="I109" s="110"/>
      <c r="J109" s="110"/>
      <c r="K109" s="110"/>
    </row>
    <row r="110" spans="1:11" x14ac:dyDescent="0.2">
      <c r="B110" s="141"/>
      <c r="C110" s="110"/>
      <c r="D110" s="110"/>
      <c r="E110" s="110"/>
      <c r="F110" s="110"/>
      <c r="G110" s="110"/>
      <c r="H110" s="110"/>
      <c r="I110" s="110"/>
      <c r="J110" s="110"/>
      <c r="K110" s="110"/>
    </row>
    <row r="111" spans="1:11" x14ac:dyDescent="0.2">
      <c r="A111" s="116" t="s">
        <v>279</v>
      </c>
      <c r="B111" s="139"/>
      <c r="C111" s="112"/>
      <c r="D111" s="112"/>
      <c r="E111" s="112"/>
      <c r="F111" s="112"/>
      <c r="G111" s="112"/>
      <c r="H111" s="110"/>
      <c r="I111" s="110"/>
      <c r="J111" s="110"/>
      <c r="K111" s="110"/>
    </row>
    <row r="112" spans="1:11" x14ac:dyDescent="0.2">
      <c r="A112" t="s">
        <v>115</v>
      </c>
      <c r="C112" s="142"/>
      <c r="D112" s="110"/>
      <c r="E112" s="110"/>
      <c r="F112" s="110"/>
      <c r="G112" s="110"/>
      <c r="H112" s="110"/>
      <c r="I112" s="110"/>
      <c r="J112" s="110"/>
      <c r="K112" s="110"/>
    </row>
    <row r="113" spans="1:11" x14ac:dyDescent="0.2">
      <c r="A113" s="142">
        <f>B108*75%</f>
        <v>9934736.4375</v>
      </c>
      <c r="B113" s="141" t="s">
        <v>280</v>
      </c>
      <c r="C113" s="110"/>
      <c r="D113" s="110"/>
      <c r="E113" s="110"/>
      <c r="F113" s="110"/>
      <c r="G113" s="110"/>
      <c r="H113" s="110"/>
      <c r="I113" s="110"/>
      <c r="J113" s="110"/>
      <c r="K113" s="110"/>
    </row>
    <row r="114" spans="1:11" x14ac:dyDescent="0.2">
      <c r="A114" s="116" t="s">
        <v>140</v>
      </c>
      <c r="B114" s="139"/>
      <c r="C114" s="112"/>
      <c r="D114" s="112"/>
      <c r="E114" s="112"/>
      <c r="F114" s="112"/>
      <c r="G114" s="112"/>
      <c r="H114" s="110"/>
      <c r="I114" s="110"/>
      <c r="J114" s="110"/>
      <c r="K114" s="110"/>
    </row>
    <row r="115" spans="1:11" x14ac:dyDescent="0.2">
      <c r="A115" s="142" t="s">
        <v>281</v>
      </c>
      <c r="B115" s="141">
        <f>B108-A113</f>
        <v>3311578.8125</v>
      </c>
      <c r="C115" s="110"/>
      <c r="D115" s="110"/>
      <c r="E115" s="110"/>
      <c r="F115" s="110"/>
      <c r="G115" s="110"/>
      <c r="H115" s="110"/>
      <c r="I115" s="110"/>
      <c r="J115" s="110"/>
      <c r="K115" s="110"/>
    </row>
    <row r="116" spans="1:11" x14ac:dyDescent="0.2">
      <c r="A116" s="142"/>
      <c r="B116" s="141"/>
      <c r="C116" s="110"/>
      <c r="D116" s="110"/>
      <c r="E116" s="110"/>
      <c r="F116" s="110"/>
      <c r="G116" s="110"/>
      <c r="H116" s="110"/>
      <c r="I116" s="110"/>
      <c r="J116" s="110"/>
      <c r="K116" s="110"/>
    </row>
    <row r="117" spans="1:11" x14ac:dyDescent="0.2">
      <c r="A117" s="142"/>
      <c r="B117" s="141"/>
      <c r="C117" s="110"/>
      <c r="D117" s="110"/>
      <c r="E117" s="110"/>
      <c r="F117" s="110"/>
      <c r="G117" s="110"/>
      <c r="H117" s="110"/>
      <c r="I117" s="110"/>
      <c r="J117" s="110"/>
      <c r="K117" s="110"/>
    </row>
    <row r="118" spans="1:11" x14ac:dyDescent="0.2">
      <c r="H118" s="110"/>
      <c r="I118" s="110"/>
      <c r="J118" s="110"/>
      <c r="K118" s="110"/>
    </row>
    <row r="119" spans="1:11" x14ac:dyDescent="0.2">
      <c r="A119" s="138" t="s">
        <v>86</v>
      </c>
      <c r="B119" s="137"/>
      <c r="C119" s="137"/>
      <c r="D119" s="137"/>
      <c r="E119" s="137"/>
      <c r="F119" s="137"/>
      <c r="G119" s="137"/>
      <c r="H119" s="110"/>
      <c r="I119" s="110"/>
      <c r="J119" s="110"/>
      <c r="K119" s="110"/>
    </row>
    <row r="120" spans="1:11" x14ac:dyDescent="0.2">
      <c r="A120" s="116" t="s">
        <v>91</v>
      </c>
      <c r="B120" s="112">
        <f xml:space="preserve"> G13*0.5%</f>
        <v>468000</v>
      </c>
      <c r="C120" s="112"/>
      <c r="D120" s="112"/>
      <c r="E120" s="112"/>
      <c r="F120" s="112"/>
      <c r="G120" s="112"/>
      <c r="H120" s="110"/>
      <c r="I120" s="110"/>
      <c r="J120" s="110"/>
      <c r="K120" s="110"/>
    </row>
    <row r="121" spans="1:11" x14ac:dyDescent="0.2">
      <c r="A121" t="s">
        <v>178</v>
      </c>
      <c r="H121" s="110"/>
      <c r="I121" s="110"/>
      <c r="J121" s="110"/>
      <c r="K121" s="110"/>
    </row>
    <row r="122" spans="1:11" x14ac:dyDescent="0.2">
      <c r="H122" s="110"/>
      <c r="I122" s="110"/>
      <c r="J122" s="110"/>
      <c r="K122" s="110"/>
    </row>
    <row r="123" spans="1:11" x14ac:dyDescent="0.2">
      <c r="A123" s="116" t="s">
        <v>90</v>
      </c>
      <c r="B123" s="112">
        <f>B126</f>
        <v>1655919</v>
      </c>
      <c r="C123" s="112"/>
      <c r="D123" s="112"/>
      <c r="E123" s="112"/>
      <c r="F123" s="112"/>
      <c r="G123" s="112"/>
      <c r="H123" s="110"/>
      <c r="I123" s="110"/>
      <c r="J123" s="110"/>
      <c r="K123" s="110"/>
    </row>
    <row r="124" spans="1:11" x14ac:dyDescent="0.2">
      <c r="A124" t="s">
        <v>177</v>
      </c>
      <c r="H124" s="110"/>
      <c r="I124" s="110"/>
      <c r="J124" s="110"/>
      <c r="K124" s="110"/>
    </row>
    <row r="125" spans="1:11" x14ac:dyDescent="0.2">
      <c r="A125" t="s">
        <v>287</v>
      </c>
      <c r="B125">
        <f>B40*102%</f>
        <v>55197300</v>
      </c>
      <c r="H125" s="110"/>
      <c r="I125" s="110"/>
      <c r="J125" s="110"/>
      <c r="K125" s="110"/>
    </row>
    <row r="126" spans="1:11" x14ac:dyDescent="0.2">
      <c r="A126" t="s">
        <v>288</v>
      </c>
      <c r="B126">
        <f>B125*3%</f>
        <v>1655919</v>
      </c>
      <c r="H126" s="110"/>
      <c r="I126" s="110"/>
      <c r="J126" s="110"/>
      <c r="K126" s="110"/>
    </row>
    <row r="127" spans="1:11" x14ac:dyDescent="0.2">
      <c r="A127" s="116" t="s">
        <v>93</v>
      </c>
      <c r="B127" s="112">
        <f>A129</f>
        <v>1497300</v>
      </c>
      <c r="C127" s="112"/>
      <c r="D127" s="112"/>
      <c r="E127" s="112"/>
      <c r="F127" s="112"/>
      <c r="G127" s="112"/>
      <c r="H127" s="110"/>
      <c r="I127" s="110"/>
      <c r="J127" s="110"/>
      <c r="K127" s="110"/>
    </row>
    <row r="128" spans="1:11" x14ac:dyDescent="0.2">
      <c r="A128" t="s">
        <v>166</v>
      </c>
      <c r="H128" s="110"/>
      <c r="I128" s="110"/>
      <c r="J128" s="110"/>
      <c r="K128" s="110"/>
    </row>
    <row r="129" spans="1:11" x14ac:dyDescent="0.2">
      <c r="A129">
        <f>2%*(B40) + 'Case 1--&gt;'!C71</f>
        <v>1497300</v>
      </c>
      <c r="H129" s="110"/>
      <c r="I129" s="110"/>
      <c r="J129" s="110"/>
      <c r="K129" s="110"/>
    </row>
    <row r="130" spans="1:11" x14ac:dyDescent="0.2">
      <c r="H130" s="110"/>
      <c r="I130" s="110"/>
      <c r="J130" s="110"/>
      <c r="K130" s="110"/>
    </row>
    <row r="131" spans="1:11" x14ac:dyDescent="0.2">
      <c r="A131" s="116" t="s">
        <v>95</v>
      </c>
      <c r="B131" s="112">
        <f>'Case 1--&gt;'!C72</f>
        <v>28000</v>
      </c>
      <c r="C131" s="112"/>
      <c r="D131" s="112"/>
      <c r="E131" s="112"/>
      <c r="F131" s="112"/>
      <c r="G131" s="112"/>
      <c r="H131" s="110"/>
      <c r="I131" s="110"/>
      <c r="J131" s="110"/>
      <c r="K131" s="110"/>
    </row>
    <row r="132" spans="1:11" x14ac:dyDescent="0.2">
      <c r="A132" t="s">
        <v>110</v>
      </c>
      <c r="H132" s="110"/>
      <c r="I132" s="110"/>
      <c r="J132" s="110"/>
      <c r="K132" s="110"/>
    </row>
    <row r="133" spans="1:11" x14ac:dyDescent="0.2">
      <c r="H133" s="110"/>
      <c r="I133" s="110"/>
      <c r="J133" s="110"/>
      <c r="K133" s="110"/>
    </row>
    <row r="134" spans="1:11" x14ac:dyDescent="0.2">
      <c r="H134" s="110"/>
      <c r="I134" s="110"/>
      <c r="J134" s="110"/>
      <c r="K134" s="110"/>
    </row>
    <row r="135" spans="1:11" x14ac:dyDescent="0.2">
      <c r="A135" s="116" t="s">
        <v>99</v>
      </c>
      <c r="B135" s="139">
        <f>B137</f>
        <v>13000000</v>
      </c>
      <c r="C135" s="112"/>
      <c r="D135" s="112"/>
      <c r="E135" s="112"/>
      <c r="F135" s="112"/>
      <c r="G135" s="112"/>
      <c r="H135" s="110"/>
      <c r="I135" s="110"/>
      <c r="J135" s="110"/>
      <c r="K135" s="110"/>
    </row>
    <row r="136" spans="1:11" x14ac:dyDescent="0.2">
      <c r="A136" t="s">
        <v>172</v>
      </c>
      <c r="H136" s="110"/>
      <c r="I136" s="110"/>
      <c r="J136" s="110"/>
      <c r="K136" s="110"/>
    </row>
    <row r="137" spans="1:11" x14ac:dyDescent="0.2">
      <c r="A137" t="s">
        <v>283</v>
      </c>
      <c r="B137" s="79">
        <f>C81</f>
        <v>13000000</v>
      </c>
      <c r="H137" s="110"/>
      <c r="I137" s="110"/>
      <c r="J137" s="110"/>
      <c r="K137" s="110"/>
    </row>
    <row r="138" spans="1:11" x14ac:dyDescent="0.2">
      <c r="H138" s="110"/>
      <c r="I138" s="110"/>
      <c r="J138" s="110"/>
      <c r="K138" s="110"/>
    </row>
    <row r="139" spans="1:11" x14ac:dyDescent="0.2">
      <c r="H139" s="110"/>
      <c r="I139" s="110"/>
      <c r="J139" s="110"/>
      <c r="K139" s="110"/>
    </row>
    <row r="140" spans="1:11" x14ac:dyDescent="0.2">
      <c r="A140" s="116" t="s">
        <v>101</v>
      </c>
      <c r="B140" s="139">
        <f>A141</f>
        <v>5700000</v>
      </c>
      <c r="C140" s="112"/>
      <c r="D140" s="112"/>
      <c r="E140" s="112"/>
      <c r="F140" s="112"/>
      <c r="G140" s="112"/>
      <c r="H140" s="110"/>
      <c r="I140" s="110"/>
      <c r="J140" s="110"/>
      <c r="K140" s="110"/>
    </row>
    <row r="141" spans="1:11" x14ac:dyDescent="0.2">
      <c r="A141" s="79">
        <f>G81+'Case 1--&gt;'!C76</f>
        <v>5700000</v>
      </c>
      <c r="C141" t="s">
        <v>284</v>
      </c>
      <c r="H141" s="110"/>
      <c r="I141" s="110"/>
      <c r="J141" s="110"/>
      <c r="K141" s="110"/>
    </row>
    <row r="142" spans="1:11" x14ac:dyDescent="0.2">
      <c r="H142" s="110"/>
      <c r="I142" s="110"/>
      <c r="J142" s="110"/>
      <c r="K142" s="110"/>
    </row>
    <row r="143" spans="1:11" x14ac:dyDescent="0.2">
      <c r="A143" s="116" t="s">
        <v>103</v>
      </c>
      <c r="B143" s="112">
        <f>'Case 1--&gt;'!C77</f>
        <v>50000</v>
      </c>
      <c r="C143" s="112"/>
      <c r="D143" s="112"/>
      <c r="E143" s="112"/>
      <c r="F143" s="112"/>
      <c r="G143" s="112"/>
      <c r="H143" s="110"/>
      <c r="I143" s="110"/>
      <c r="J143" s="110"/>
      <c r="K143" s="110"/>
    </row>
    <row r="144" spans="1:11" x14ac:dyDescent="0.2">
      <c r="A144" t="s">
        <v>110</v>
      </c>
      <c r="H144" s="110"/>
      <c r="I144" s="110"/>
      <c r="J144" s="110"/>
      <c r="K144" s="110"/>
    </row>
    <row r="145" spans="1:11" x14ac:dyDescent="0.2">
      <c r="H145" s="110"/>
      <c r="I145" s="110"/>
      <c r="J145" s="110"/>
      <c r="K145" s="110"/>
    </row>
    <row r="146" spans="1:11" x14ac:dyDescent="0.2">
      <c r="H146" s="110"/>
      <c r="I146" s="110"/>
      <c r="J146" s="110"/>
      <c r="K146" s="110"/>
    </row>
    <row r="147" spans="1:11" x14ac:dyDescent="0.2">
      <c r="A147" s="116" t="s">
        <v>94</v>
      </c>
      <c r="B147" s="112">
        <f>B149+B150</f>
        <v>5500000</v>
      </c>
      <c r="C147" s="112"/>
      <c r="D147" s="112"/>
      <c r="E147" s="112"/>
      <c r="F147" s="112"/>
      <c r="G147" s="112"/>
      <c r="H147" s="110"/>
      <c r="I147" s="110"/>
      <c r="J147" s="110"/>
      <c r="K147" s="110"/>
    </row>
    <row r="148" spans="1:11" x14ac:dyDescent="0.2">
      <c r="H148" s="110"/>
      <c r="I148" s="110"/>
      <c r="J148" s="110"/>
      <c r="K148" s="110"/>
    </row>
    <row r="149" spans="1:11" x14ac:dyDescent="0.2">
      <c r="A149" t="s">
        <v>286</v>
      </c>
      <c r="B149">
        <v>5000000</v>
      </c>
      <c r="H149" s="110"/>
      <c r="I149" s="110"/>
      <c r="J149" s="110"/>
      <c r="K149" s="110"/>
    </row>
    <row r="150" spans="1:11" x14ac:dyDescent="0.2">
      <c r="A150" t="s">
        <v>271</v>
      </c>
      <c r="B150">
        <v>500000</v>
      </c>
      <c r="H150" s="110"/>
      <c r="I150" s="110"/>
      <c r="J150" s="110"/>
      <c r="K150" s="110"/>
    </row>
    <row r="151" spans="1:11" x14ac:dyDescent="0.2">
      <c r="H151" s="110"/>
      <c r="I151" s="110"/>
      <c r="J151" s="110"/>
      <c r="K151" s="110"/>
    </row>
    <row r="152" spans="1:11" x14ac:dyDescent="0.2">
      <c r="H152" s="110"/>
      <c r="I152" s="110"/>
      <c r="J152" s="110"/>
      <c r="K152" s="110"/>
    </row>
    <row r="153" spans="1:11" x14ac:dyDescent="0.2">
      <c r="A153" s="138" t="s">
        <v>124</v>
      </c>
      <c r="B153" s="137"/>
      <c r="C153" s="137"/>
      <c r="D153" s="137"/>
      <c r="E153" s="137"/>
      <c r="F153" s="137"/>
      <c r="G153" s="137"/>
      <c r="H153" s="110"/>
      <c r="I153" s="110"/>
      <c r="J153" s="110"/>
      <c r="K153" s="110"/>
    </row>
    <row r="154" spans="1:11" x14ac:dyDescent="0.2">
      <c r="A154" s="116" t="s">
        <v>143</v>
      </c>
      <c r="B154" s="112">
        <f>E160</f>
        <v>155619</v>
      </c>
      <c r="C154" s="112"/>
      <c r="D154" s="112"/>
      <c r="E154" s="112"/>
      <c r="F154" s="112"/>
      <c r="G154" s="112"/>
      <c r="H154" s="110"/>
      <c r="I154" s="110"/>
      <c r="J154" s="110"/>
      <c r="K154" s="110"/>
    </row>
    <row r="155" spans="1:11" x14ac:dyDescent="0.2">
      <c r="H155" s="110"/>
      <c r="I155" s="110"/>
      <c r="J155" s="110"/>
      <c r="K155" s="110"/>
    </row>
    <row r="156" spans="1:11" x14ac:dyDescent="0.2">
      <c r="B156" s="22"/>
      <c r="C156" s="143" t="s">
        <v>293</v>
      </c>
      <c r="D156" s="143" t="s">
        <v>202</v>
      </c>
      <c r="E156" s="22" t="s">
        <v>294</v>
      </c>
      <c r="H156" s="110"/>
      <c r="I156" s="110"/>
      <c r="J156" s="110"/>
      <c r="K156" s="110"/>
    </row>
    <row r="157" spans="1:11" x14ac:dyDescent="0.2">
      <c r="B157" s="16" t="s">
        <v>91</v>
      </c>
      <c r="C157" s="144">
        <f>'Case 1--&gt;'!C70</f>
        <v>350000</v>
      </c>
      <c r="D157" s="144">
        <f>B120</f>
        <v>468000</v>
      </c>
      <c r="E157" s="16">
        <f>D157-C157</f>
        <v>118000</v>
      </c>
      <c r="H157" s="110"/>
      <c r="I157" s="110"/>
      <c r="J157" s="110"/>
      <c r="K157" s="110"/>
    </row>
    <row r="158" spans="1:11" x14ac:dyDescent="0.2">
      <c r="B158" s="16" t="s">
        <v>90</v>
      </c>
      <c r="C158" s="144">
        <f>'Case 1--&gt;'!F69</f>
        <v>300000</v>
      </c>
      <c r="D158" s="144">
        <f>B123</f>
        <v>1655919</v>
      </c>
      <c r="E158" s="16">
        <f t="shared" ref="E158:E159" si="3">D158-C158</f>
        <v>1355919</v>
      </c>
      <c r="H158" s="110"/>
      <c r="I158" s="110"/>
      <c r="J158" s="110"/>
      <c r="K158" s="110"/>
    </row>
    <row r="159" spans="1:11" x14ac:dyDescent="0.2">
      <c r="B159" s="18" t="s">
        <v>93</v>
      </c>
      <c r="C159" s="146">
        <f>'Case 1--&gt;'!C71</f>
        <v>415000</v>
      </c>
      <c r="D159" s="146">
        <f>B127</f>
        <v>1497300</v>
      </c>
      <c r="E159" s="18">
        <f t="shared" si="3"/>
        <v>1082300</v>
      </c>
      <c r="H159" s="110"/>
      <c r="I159" s="110"/>
      <c r="J159" s="110"/>
      <c r="K159" s="110"/>
    </row>
    <row r="160" spans="1:11" x14ac:dyDescent="0.2">
      <c r="B160" s="18"/>
      <c r="C160" s="2"/>
      <c r="D160" s="145" t="s">
        <v>295</v>
      </c>
      <c r="E160" s="18">
        <f>E158-E157-E159</f>
        <v>155619</v>
      </c>
      <c r="H160" s="110"/>
      <c r="I160" s="110"/>
      <c r="J160" s="110"/>
      <c r="K160" s="110"/>
    </row>
    <row r="161" spans="1:11" x14ac:dyDescent="0.2">
      <c r="H161" s="110"/>
      <c r="I161" s="110"/>
      <c r="J161" s="110"/>
      <c r="K161" s="110"/>
    </row>
    <row r="162" spans="1:11" x14ac:dyDescent="0.2">
      <c r="A162" s="116" t="s">
        <v>149</v>
      </c>
      <c r="B162" s="112">
        <f>C168</f>
        <v>200000</v>
      </c>
      <c r="C162" s="112"/>
      <c r="D162" s="112"/>
      <c r="E162" s="112"/>
      <c r="F162" s="112"/>
      <c r="G162" s="112"/>
      <c r="H162" s="110"/>
      <c r="I162" s="110"/>
      <c r="J162" s="110"/>
      <c r="K162" s="110"/>
    </row>
    <row r="163" spans="1:11" x14ac:dyDescent="0.2">
      <c r="H163" s="110"/>
      <c r="I163" s="110"/>
      <c r="J163" s="110"/>
      <c r="K163" s="110"/>
    </row>
    <row r="164" spans="1:11" x14ac:dyDescent="0.2">
      <c r="B164" s="25" t="s">
        <v>297</v>
      </c>
      <c r="C164" s="147">
        <v>5000000</v>
      </c>
      <c r="H164" s="110"/>
      <c r="I164" s="110"/>
      <c r="J164" s="110"/>
      <c r="K164" s="110"/>
    </row>
    <row r="165" spans="1:11" x14ac:dyDescent="0.2">
      <c r="B165" s="27" t="s">
        <v>298</v>
      </c>
      <c r="C165" s="148">
        <v>5500000</v>
      </c>
      <c r="H165" s="110"/>
      <c r="I165" s="110"/>
      <c r="J165" s="110"/>
      <c r="K165" s="110"/>
    </row>
    <row r="166" spans="1:11" x14ac:dyDescent="0.2">
      <c r="B166" s="27" t="s">
        <v>299</v>
      </c>
      <c r="C166" s="148">
        <v>300000</v>
      </c>
      <c r="H166" s="110"/>
      <c r="I166" s="110"/>
      <c r="J166" s="110"/>
      <c r="K166" s="110"/>
    </row>
    <row r="167" spans="1:11" x14ac:dyDescent="0.2">
      <c r="B167" s="29" t="s">
        <v>300</v>
      </c>
      <c r="C167" s="149" t="s">
        <v>296</v>
      </c>
      <c r="H167" s="110"/>
      <c r="I167" s="110"/>
      <c r="J167" s="110"/>
      <c r="K167" s="110"/>
    </row>
    <row r="168" spans="1:11" x14ac:dyDescent="0.2">
      <c r="C168" s="18">
        <f>C165-C164-C166</f>
        <v>200000</v>
      </c>
      <c r="H168" s="110"/>
      <c r="I168" s="110"/>
      <c r="J168" s="110"/>
      <c r="K168" s="110"/>
    </row>
    <row r="169" spans="1:11" x14ac:dyDescent="0.2">
      <c r="H169" s="110"/>
      <c r="I169" s="110"/>
      <c r="J169" s="110"/>
      <c r="K169" s="110"/>
    </row>
    <row r="170" spans="1:11" x14ac:dyDescent="0.2">
      <c r="H170" s="110"/>
      <c r="I170" s="110"/>
      <c r="J170" s="110"/>
      <c r="K170" s="110"/>
    </row>
    <row r="171" spans="1:11" x14ac:dyDescent="0.2">
      <c r="H171" s="110"/>
      <c r="I171" s="110"/>
      <c r="J171" s="110"/>
      <c r="K171" s="110"/>
    </row>
    <row r="172" spans="1:11" x14ac:dyDescent="0.2">
      <c r="A172" s="138" t="s">
        <v>152</v>
      </c>
      <c r="B172" s="137"/>
      <c r="C172" s="137"/>
      <c r="D172" s="137"/>
      <c r="E172" s="137"/>
      <c r="F172" s="137"/>
      <c r="G172" s="137"/>
      <c r="H172" s="110"/>
      <c r="I172" s="110"/>
      <c r="J172" s="110"/>
      <c r="K172" s="110"/>
    </row>
    <row r="173" spans="1:11" x14ac:dyDescent="0.2">
      <c r="A173" s="116" t="s">
        <v>36</v>
      </c>
      <c r="B173" s="112">
        <f>'Case - Answers'!H8/'Case - Answers'!K7</f>
        <v>1.4276662690909092</v>
      </c>
      <c r="C173" s="112"/>
      <c r="D173" s="112"/>
      <c r="E173" s="112"/>
      <c r="F173" s="112"/>
      <c r="G173" s="112"/>
      <c r="H173" s="110"/>
      <c r="I173" s="110"/>
      <c r="J173" s="110"/>
      <c r="K173" s="110"/>
    </row>
    <row r="174" spans="1:11" x14ac:dyDescent="0.2">
      <c r="H174" s="110"/>
      <c r="I174" s="110"/>
      <c r="J174" s="110"/>
      <c r="K174" s="110"/>
    </row>
    <row r="175" spans="1:11" x14ac:dyDescent="0.2">
      <c r="A175" t="s">
        <v>301</v>
      </c>
      <c r="C175" t="s">
        <v>302</v>
      </c>
      <c r="H175" s="110"/>
      <c r="I175" s="110"/>
      <c r="J175" s="110"/>
      <c r="K175" s="110"/>
    </row>
    <row r="176" spans="1:11" x14ac:dyDescent="0.2">
      <c r="C176" t="s">
        <v>303</v>
      </c>
      <c r="H176" s="110"/>
      <c r="I176" s="110"/>
      <c r="J176" s="110"/>
      <c r="K176" s="110"/>
    </row>
    <row r="177" spans="1:11" x14ac:dyDescent="0.2">
      <c r="H177" s="110"/>
      <c r="I177" s="110"/>
      <c r="J177" s="110"/>
      <c r="K177" s="110"/>
    </row>
    <row r="178" spans="1:11" x14ac:dyDescent="0.2">
      <c r="A178" s="116" t="s">
        <v>37</v>
      </c>
      <c r="B178" s="112">
        <f>('Case - Answers'!H8-'Case - Answers'!H6)/'Case - Answers'!K6</f>
        <v>3.8376662626613984</v>
      </c>
      <c r="C178" s="112"/>
      <c r="D178" s="112"/>
      <c r="E178" s="112"/>
      <c r="F178" s="112"/>
      <c r="G178" s="112"/>
      <c r="H178" s="110"/>
      <c r="I178" s="110"/>
      <c r="J178" s="110"/>
      <c r="K178" s="110"/>
    </row>
    <row r="179" spans="1:11" x14ac:dyDescent="0.2">
      <c r="H179" s="110"/>
      <c r="I179" s="110"/>
      <c r="J179" s="110"/>
      <c r="K179" s="110"/>
    </row>
    <row r="180" spans="1:11" x14ac:dyDescent="0.2">
      <c r="A180" t="s">
        <v>304</v>
      </c>
      <c r="C180" s="118" t="s">
        <v>319</v>
      </c>
      <c r="H180" s="110"/>
      <c r="I180" s="110"/>
      <c r="J180" s="110"/>
      <c r="K180" s="110"/>
    </row>
    <row r="181" spans="1:11" x14ac:dyDescent="0.2">
      <c r="C181" s="118" t="s">
        <v>317</v>
      </c>
      <c r="H181" s="110"/>
      <c r="I181" s="110"/>
      <c r="J181" s="110"/>
      <c r="K181" s="110"/>
    </row>
    <row r="182" spans="1:11" x14ac:dyDescent="0.2">
      <c r="C182" s="118" t="s">
        <v>318</v>
      </c>
      <c r="H182" s="110"/>
      <c r="I182" s="110"/>
      <c r="J182" s="110"/>
      <c r="K182" s="110"/>
    </row>
    <row r="183" spans="1:11" x14ac:dyDescent="0.2">
      <c r="A183" s="116" t="s">
        <v>38</v>
      </c>
      <c r="B183" s="112">
        <f>'Case - Answers'!H4/'Case - Answers'!K6</f>
        <v>3.5381347034486592</v>
      </c>
      <c r="C183" s="112"/>
      <c r="D183" s="112"/>
      <c r="E183" s="112"/>
      <c r="F183" s="112"/>
      <c r="G183" s="112"/>
      <c r="H183" s="110"/>
      <c r="I183" s="110"/>
      <c r="J183" s="110"/>
      <c r="K183" s="110"/>
    </row>
    <row r="184" spans="1:11" x14ac:dyDescent="0.2">
      <c r="H184" s="110"/>
      <c r="I184" s="110"/>
      <c r="J184" s="110"/>
      <c r="K184" s="110"/>
    </row>
    <row r="185" spans="1:11" ht="16" x14ac:dyDescent="0.2">
      <c r="A185" s="117" t="s">
        <v>305</v>
      </c>
      <c r="C185" t="s">
        <v>320</v>
      </c>
      <c r="H185" s="110"/>
      <c r="I185" s="110"/>
      <c r="J185" s="110"/>
      <c r="K185" s="110"/>
    </row>
    <row r="186" spans="1:11" x14ac:dyDescent="0.2">
      <c r="H186" s="110"/>
      <c r="I186" s="110"/>
      <c r="J186" s="110"/>
      <c r="K186" s="110"/>
    </row>
    <row r="187" spans="1:11" x14ac:dyDescent="0.2">
      <c r="H187" s="110"/>
      <c r="I187" s="110"/>
      <c r="J187" s="110"/>
      <c r="K187" s="110"/>
    </row>
    <row r="188" spans="1:11" x14ac:dyDescent="0.2">
      <c r="A188" s="116" t="s">
        <v>40</v>
      </c>
      <c r="B188" s="112">
        <f>G13/B191</f>
        <v>7.3305884714061431</v>
      </c>
      <c r="C188" s="112"/>
      <c r="D188" s="112"/>
      <c r="E188" s="112"/>
      <c r="F188" s="112"/>
      <c r="G188" s="112"/>
      <c r="H188" s="110"/>
      <c r="I188" s="110"/>
      <c r="J188" s="110"/>
      <c r="K188" s="110"/>
    </row>
    <row r="189" spans="1:11" x14ac:dyDescent="0.2">
      <c r="H189" s="110"/>
      <c r="I189" s="110"/>
      <c r="J189" s="110"/>
      <c r="K189" s="110"/>
    </row>
    <row r="190" spans="1:11" x14ac:dyDescent="0.2">
      <c r="A190" t="s">
        <v>306</v>
      </c>
      <c r="D190" s="118" t="s">
        <v>321</v>
      </c>
      <c r="H190" s="110"/>
      <c r="I190" s="110"/>
      <c r="J190" s="110"/>
      <c r="K190" s="110"/>
    </row>
    <row r="191" spans="1:11" x14ac:dyDescent="0.2">
      <c r="A191" t="s">
        <v>330</v>
      </c>
      <c r="B191">
        <f>('Case - Answers'!H14+'Case 1--&gt;'!C79)/2</f>
        <v>12768415.573333334</v>
      </c>
      <c r="D191" t="s">
        <v>322</v>
      </c>
      <c r="H191" s="110"/>
      <c r="I191" s="110"/>
      <c r="J191" s="110"/>
      <c r="K191" s="110"/>
    </row>
    <row r="192" spans="1:11" x14ac:dyDescent="0.2">
      <c r="D192" t="s">
        <v>323</v>
      </c>
      <c r="H192" s="110"/>
      <c r="I192" s="110"/>
      <c r="J192" s="110"/>
      <c r="K192" s="110"/>
    </row>
    <row r="193" spans="1:11" x14ac:dyDescent="0.2">
      <c r="A193" s="116" t="s">
        <v>41</v>
      </c>
      <c r="B193" s="112">
        <f>G13/B197</f>
        <v>228.85085574572128</v>
      </c>
      <c r="C193" s="112"/>
      <c r="D193" s="112"/>
      <c r="E193" s="112"/>
      <c r="F193" s="112"/>
      <c r="G193" s="112"/>
      <c r="H193" s="110"/>
      <c r="I193" s="110"/>
      <c r="J193" s="110"/>
      <c r="K193" s="110"/>
    </row>
    <row r="194" spans="1:11" x14ac:dyDescent="0.2">
      <c r="H194" s="110"/>
      <c r="I194" s="110"/>
      <c r="J194" s="110"/>
      <c r="K194" s="110"/>
    </row>
    <row r="195" spans="1:11" x14ac:dyDescent="0.2">
      <c r="H195" s="110"/>
      <c r="I195" s="110"/>
      <c r="J195" s="110"/>
      <c r="K195" s="110"/>
    </row>
    <row r="196" spans="1:11" x14ac:dyDescent="0.2">
      <c r="A196" t="s">
        <v>307</v>
      </c>
      <c r="D196" t="s">
        <v>324</v>
      </c>
      <c r="H196" s="110"/>
      <c r="I196" s="110"/>
      <c r="J196" s="110"/>
      <c r="K196" s="110"/>
    </row>
    <row r="197" spans="1:11" x14ac:dyDescent="0.2">
      <c r="A197" t="s">
        <v>333</v>
      </c>
      <c r="B197">
        <f>('Case - Answers'!H5+'Case 1--&gt;'!C70)/2</f>
        <v>409000</v>
      </c>
      <c r="H197" s="110"/>
      <c r="I197" s="110"/>
      <c r="J197" s="110"/>
      <c r="K197" s="110"/>
    </row>
    <row r="198" spans="1:11" x14ac:dyDescent="0.2">
      <c r="H198" s="110"/>
      <c r="I198" s="110"/>
      <c r="J198" s="110"/>
      <c r="K198" s="110"/>
    </row>
    <row r="199" spans="1:11" x14ac:dyDescent="0.2">
      <c r="A199" s="116" t="s">
        <v>42</v>
      </c>
      <c r="B199" s="112">
        <f>365/B193</f>
        <v>1.5949252136752137</v>
      </c>
      <c r="C199" s="112"/>
      <c r="D199" s="112"/>
      <c r="E199" s="112"/>
      <c r="F199" s="112"/>
      <c r="G199" s="112"/>
      <c r="H199" s="110"/>
      <c r="I199" s="110"/>
      <c r="J199" s="110"/>
      <c r="K199" s="110"/>
    </row>
    <row r="200" spans="1:11" x14ac:dyDescent="0.2">
      <c r="H200" s="110"/>
      <c r="I200" s="110"/>
      <c r="J200" s="110"/>
      <c r="K200" s="110"/>
    </row>
    <row r="201" spans="1:11" x14ac:dyDescent="0.2">
      <c r="A201" t="s">
        <v>331</v>
      </c>
      <c r="H201" s="110"/>
      <c r="I201" s="110"/>
      <c r="J201" s="110"/>
      <c r="K201" s="110"/>
    </row>
    <row r="202" spans="1:11" x14ac:dyDescent="0.2">
      <c r="H202" s="110"/>
      <c r="I202" s="110"/>
      <c r="J202" s="110"/>
      <c r="K202" s="110"/>
    </row>
    <row r="203" spans="1:11" x14ac:dyDescent="0.2">
      <c r="H203" s="110"/>
      <c r="I203" s="110"/>
      <c r="J203" s="110"/>
      <c r="K203" s="110"/>
    </row>
    <row r="204" spans="1:11" x14ac:dyDescent="0.2">
      <c r="H204" s="110"/>
      <c r="I204" s="110"/>
      <c r="J204" s="110"/>
      <c r="K204" s="110"/>
    </row>
    <row r="205" spans="1:11" x14ac:dyDescent="0.2">
      <c r="A205" s="116" t="s">
        <v>43</v>
      </c>
      <c r="B205" s="112">
        <f>'Case - Answers'!E3/'Case - Solving&amp;Explanation'!B208</f>
        <v>57.450190869633424</v>
      </c>
      <c r="C205" s="112"/>
      <c r="D205" s="112"/>
      <c r="E205" s="112"/>
      <c r="F205" s="112"/>
      <c r="G205" s="112"/>
      <c r="H205" s="110"/>
      <c r="I205" s="110"/>
      <c r="J205" s="110"/>
      <c r="K205" s="110"/>
    </row>
    <row r="206" spans="1:11" x14ac:dyDescent="0.2">
      <c r="H206" s="110"/>
      <c r="I206" s="110"/>
      <c r="J206" s="110"/>
      <c r="K206" s="110"/>
    </row>
    <row r="207" spans="1:11" x14ac:dyDescent="0.2">
      <c r="A207" t="s">
        <v>308</v>
      </c>
      <c r="H207" s="110"/>
      <c r="I207" s="110"/>
      <c r="J207" s="110"/>
      <c r="K207" s="110"/>
    </row>
    <row r="208" spans="1:11" x14ac:dyDescent="0.2">
      <c r="A208" t="s">
        <v>332</v>
      </c>
      <c r="B208">
        <f>('Case - Answers'!H6+'Case 1--&gt;'!C71)/2</f>
        <v>956150</v>
      </c>
      <c r="D208" s="118" t="s">
        <v>325</v>
      </c>
      <c r="H208" s="110"/>
      <c r="I208" s="110"/>
      <c r="J208" s="110"/>
      <c r="K208" s="110"/>
    </row>
    <row r="209" spans="1:11" x14ac:dyDescent="0.2">
      <c r="H209" s="110"/>
      <c r="I209" s="110"/>
      <c r="J209" s="110"/>
      <c r="K209" s="110"/>
    </row>
    <row r="210" spans="1:11" x14ac:dyDescent="0.2">
      <c r="H210" s="110"/>
      <c r="I210" s="110"/>
      <c r="J210" s="110"/>
      <c r="K210" s="110"/>
    </row>
    <row r="211" spans="1:11" x14ac:dyDescent="0.2">
      <c r="A211" s="116" t="s">
        <v>44</v>
      </c>
      <c r="B211" s="112">
        <f>365/B205</f>
        <v>6.3533296317197943</v>
      </c>
      <c r="C211" s="112"/>
      <c r="D211" s="112"/>
      <c r="E211" s="112"/>
      <c r="F211" s="112"/>
      <c r="G211" s="112"/>
      <c r="H211" s="110"/>
      <c r="I211" s="110"/>
      <c r="J211" s="110"/>
      <c r="K211" s="110"/>
    </row>
    <row r="213" spans="1:11" x14ac:dyDescent="0.2">
      <c r="A213" t="s">
        <v>309</v>
      </c>
      <c r="D213" t="s">
        <v>334</v>
      </c>
    </row>
    <row r="215" spans="1:11" x14ac:dyDescent="0.2">
      <c r="A215" s="137" t="s">
        <v>326</v>
      </c>
      <c r="B215" s="137" t="s">
        <v>329</v>
      </c>
      <c r="C215" s="137"/>
      <c r="D215" s="137"/>
    </row>
    <row r="216" spans="1:11" x14ac:dyDescent="0.2">
      <c r="A216" s="151" t="s">
        <v>46</v>
      </c>
      <c r="B216" s="112">
        <f>'Case - Answers'!E12/'Case - Answers'!E2</f>
        <v>0.14152046207264957</v>
      </c>
      <c r="C216" s="112"/>
      <c r="D216" s="112"/>
      <c r="E216" s="112"/>
      <c r="F216" s="112"/>
      <c r="G216" s="112"/>
    </row>
    <row r="218" spans="1:11" x14ac:dyDescent="0.2">
      <c r="A218" t="s">
        <v>310</v>
      </c>
    </row>
    <row r="220" spans="1:11" x14ac:dyDescent="0.2">
      <c r="A220" s="151" t="s">
        <v>47</v>
      </c>
      <c r="B220" s="112">
        <f>'Case - Answers'!E6/'Case - Answers'!E2</f>
        <v>0.19849946581196581</v>
      </c>
      <c r="C220" s="112"/>
      <c r="D220" s="112"/>
      <c r="E220" s="112"/>
      <c r="F220" s="112"/>
      <c r="G220" s="112"/>
    </row>
    <row r="222" spans="1:11" x14ac:dyDescent="0.2">
      <c r="A222" t="s">
        <v>311</v>
      </c>
    </row>
    <row r="225" spans="1:7" x14ac:dyDescent="0.2">
      <c r="A225" s="151" t="s">
        <v>48</v>
      </c>
      <c r="B225" s="112">
        <f>'Case - Answers'!E4/'Case - Answers'!E2</f>
        <v>0.41313034188034187</v>
      </c>
      <c r="C225" s="112"/>
      <c r="D225" s="112"/>
      <c r="E225" s="112"/>
      <c r="F225" s="112"/>
      <c r="G225" s="112"/>
    </row>
    <row r="227" spans="1:7" x14ac:dyDescent="0.2">
      <c r="A227" t="s">
        <v>312</v>
      </c>
    </row>
    <row r="230" spans="1:7" x14ac:dyDescent="0.2">
      <c r="A230" s="150" t="s">
        <v>336</v>
      </c>
      <c r="B230" s="137"/>
      <c r="C230" s="137"/>
      <c r="D230" s="137" t="s">
        <v>337</v>
      </c>
    </row>
    <row r="231" spans="1:7" x14ac:dyDescent="0.2">
      <c r="A231" s="151" t="s">
        <v>52</v>
      </c>
      <c r="B231" s="112">
        <f>'Case - Answers'!K8/'Case - Answers'!H14</f>
        <v>0.47071711461972027</v>
      </c>
      <c r="C231" s="112"/>
      <c r="D231" s="112"/>
      <c r="E231" s="112"/>
      <c r="F231" s="112"/>
      <c r="G231" s="112"/>
    </row>
    <row r="233" spans="1:7" x14ac:dyDescent="0.2">
      <c r="A233" t="s">
        <v>315</v>
      </c>
      <c r="B233" s="118" t="s">
        <v>338</v>
      </c>
    </row>
    <row r="234" spans="1:7" x14ac:dyDescent="0.2">
      <c r="A234" t="s">
        <v>344</v>
      </c>
    </row>
    <row r="235" spans="1:7" x14ac:dyDescent="0.2">
      <c r="A235" s="151" t="s">
        <v>53</v>
      </c>
      <c r="B235" s="112">
        <f>'Case - Answers'!K8/'Case - Answers'!K13</f>
        <v>0.88934882965329576</v>
      </c>
      <c r="C235" s="112"/>
      <c r="D235" s="112"/>
      <c r="E235" s="112"/>
      <c r="F235" s="112"/>
      <c r="G235" s="112"/>
    </row>
    <row r="237" spans="1:7" x14ac:dyDescent="0.2">
      <c r="A237" t="s">
        <v>316</v>
      </c>
      <c r="B237" t="s">
        <v>339</v>
      </c>
    </row>
    <row r="238" spans="1:7" x14ac:dyDescent="0.2">
      <c r="A238" t="s">
        <v>345</v>
      </c>
    </row>
    <row r="242" spans="1:7" x14ac:dyDescent="0.2">
      <c r="A242" s="116" t="s">
        <v>134</v>
      </c>
      <c r="B242" s="112">
        <f>'Case - Answers'!E8/'Case - Answers'!E9</f>
        <v>51.708936825885978</v>
      </c>
      <c r="C242" s="112"/>
      <c r="D242" s="112"/>
      <c r="E242" s="112"/>
      <c r="F242" s="112"/>
      <c r="G242" s="112"/>
    </row>
    <row r="244" spans="1:7" x14ac:dyDescent="0.2">
      <c r="A244" t="s">
        <v>340</v>
      </c>
      <c r="C244" t="s">
        <v>341</v>
      </c>
    </row>
    <row r="245" spans="1:7" x14ac:dyDescent="0.2">
      <c r="C245" t="s">
        <v>342</v>
      </c>
    </row>
    <row r="246" spans="1:7" x14ac:dyDescent="0.2">
      <c r="C246" t="s">
        <v>343</v>
      </c>
    </row>
    <row r="248" spans="1:7" x14ac:dyDescent="0.2">
      <c r="A248" s="116" t="s">
        <v>49</v>
      </c>
      <c r="B248" s="112">
        <f>'Case - Answers'!E12/'Case - Solving&amp;Explanation'!B191</f>
        <v>1.0374282677378353</v>
      </c>
      <c r="C248" s="112"/>
      <c r="D248" s="112"/>
      <c r="E248" s="112"/>
      <c r="F248" s="112"/>
      <c r="G248" s="112"/>
    </row>
    <row r="250" spans="1:7" x14ac:dyDescent="0.2">
      <c r="A250" t="s">
        <v>313</v>
      </c>
      <c r="C250" s="118" t="s">
        <v>327</v>
      </c>
    </row>
    <row r="252" spans="1:7" x14ac:dyDescent="0.2">
      <c r="A252" s="116" t="s">
        <v>50</v>
      </c>
      <c r="B252" s="112">
        <f>'Case - Answers'!E12/'Case - Solving&amp;Explanation'!B254</f>
        <v>26.492630500000001</v>
      </c>
      <c r="C252" s="112"/>
      <c r="D252" s="112"/>
      <c r="E252" s="112"/>
      <c r="F252" s="112"/>
      <c r="G252" s="112"/>
    </row>
    <row r="253" spans="1:7" x14ac:dyDescent="0.2">
      <c r="A253" t="s">
        <v>314</v>
      </c>
      <c r="C253" t="s">
        <v>328</v>
      </c>
    </row>
    <row r="254" spans="1:7" x14ac:dyDescent="0.2">
      <c r="A254" t="s">
        <v>335</v>
      </c>
      <c r="B254">
        <f>( 'Case - Answers'!K11+'Case 1--&gt;'!F76)/2</f>
        <v>500000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65A75-0610-204E-B02B-1008B3F403D4}">
  <dimension ref="A1:A63"/>
  <sheetViews>
    <sheetView workbookViewId="0">
      <selection sqref="A1:A1048576"/>
    </sheetView>
  </sheetViews>
  <sheetFormatPr baseColWidth="10" defaultRowHeight="15" x14ac:dyDescent="0.2"/>
  <cols>
    <col min="1" max="1" width="10.83203125" style="88"/>
  </cols>
  <sheetData>
    <row r="1" spans="1:1" x14ac:dyDescent="0.2">
      <c r="A1" s="88" t="s">
        <v>123</v>
      </c>
    </row>
    <row r="2" spans="1:1" x14ac:dyDescent="0.2">
      <c r="A2" s="88">
        <f>'Case - Answers'!E2</f>
        <v>93600000</v>
      </c>
    </row>
    <row r="3" spans="1:1" x14ac:dyDescent="0.2">
      <c r="A3" s="88">
        <f>'Case - Answers'!E3</f>
        <v>54931000</v>
      </c>
    </row>
    <row r="4" spans="1:1" x14ac:dyDescent="0.2">
      <c r="A4" s="88">
        <f>'Case - Answers'!E4</f>
        <v>38669000</v>
      </c>
    </row>
    <row r="5" spans="1:1" x14ac:dyDescent="0.2">
      <c r="A5" s="88">
        <f>'Case - Answers'!E5</f>
        <v>20089450</v>
      </c>
    </row>
    <row r="6" spans="1:1" x14ac:dyDescent="0.2">
      <c r="A6" s="88">
        <f>'Case - Answers'!E6</f>
        <v>18579550</v>
      </c>
    </row>
    <row r="7" spans="1:1" x14ac:dyDescent="0.2">
      <c r="A7" s="88">
        <f>'Case - Answers'!E7</f>
        <v>1800000</v>
      </c>
    </row>
    <row r="8" spans="1:1" x14ac:dyDescent="0.2">
      <c r="A8" s="88">
        <f>'Case - Answers'!E8</f>
        <v>16779550</v>
      </c>
    </row>
    <row r="9" spans="1:1" x14ac:dyDescent="0.2">
      <c r="A9" s="88">
        <f>'Case - Answers'!E9</f>
        <v>324500</v>
      </c>
    </row>
    <row r="10" spans="1:1" x14ac:dyDescent="0.2">
      <c r="A10" s="88">
        <f>'Case - Answers'!E10</f>
        <v>16455050</v>
      </c>
    </row>
    <row r="11" spans="1:1" x14ac:dyDescent="0.2">
      <c r="A11" s="88">
        <f>'Case - Answers'!E11</f>
        <v>3208734.75</v>
      </c>
    </row>
    <row r="12" spans="1:1" x14ac:dyDescent="0.2">
      <c r="A12" s="88">
        <f>'Case - Answers'!E12</f>
        <v>13246315.25</v>
      </c>
    </row>
    <row r="13" spans="1:1" x14ac:dyDescent="0.2">
      <c r="A13" s="88">
        <f>'Case - Answers'!E13</f>
        <v>9934736.4375</v>
      </c>
    </row>
    <row r="14" spans="1:1" x14ac:dyDescent="0.2">
      <c r="A14" s="88">
        <f>'Case - Answers'!E14</f>
        <v>3311578.8125</v>
      </c>
    </row>
    <row r="15" spans="1:1" x14ac:dyDescent="0.2">
      <c r="A15" s="88" t="s">
        <v>86</v>
      </c>
    </row>
    <row r="16" spans="1:1" x14ac:dyDescent="0.2">
      <c r="A16" s="88">
        <f>'Case - Answers'!H4</f>
        <v>5858864.4800000004</v>
      </c>
    </row>
    <row r="17" spans="1:1" x14ac:dyDescent="0.2">
      <c r="A17" s="88">
        <f>'Case - Answers'!H5</f>
        <v>468000</v>
      </c>
    </row>
    <row r="18" spans="1:1" x14ac:dyDescent="0.2">
      <c r="A18" s="88">
        <f>'Case - Answers'!H6</f>
        <v>1497300</v>
      </c>
    </row>
    <row r="19" spans="1:1" x14ac:dyDescent="0.2">
      <c r="A19" s="88">
        <f>'Case - Answers'!H7</f>
        <v>28000</v>
      </c>
    </row>
    <row r="20" spans="1:1" x14ac:dyDescent="0.2">
      <c r="A20" s="88">
        <f>'Case - Answers'!H8</f>
        <v>7852164.4800000004</v>
      </c>
    </row>
    <row r="21" spans="1:1" x14ac:dyDescent="0.2">
      <c r="A21" s="88">
        <f>'Case - Answers'!H10</f>
        <v>13000000</v>
      </c>
    </row>
    <row r="22" spans="1:1" x14ac:dyDescent="0.2">
      <c r="A22" s="88">
        <f>'Case - Answers'!H11</f>
        <v>5700000</v>
      </c>
    </row>
    <row r="23" spans="1:1" x14ac:dyDescent="0.2">
      <c r="A23" s="88">
        <f>'Case - Answers'!H12</f>
        <v>50000</v>
      </c>
    </row>
    <row r="24" spans="1:1" x14ac:dyDescent="0.2">
      <c r="A24" s="88">
        <f>'Case - Answers'!$H$14</f>
        <v>15202164.48</v>
      </c>
    </row>
    <row r="25" spans="1:1" x14ac:dyDescent="0.2">
      <c r="A25" s="88">
        <f>'Case - Answers'!K4</f>
        <v>1655919</v>
      </c>
    </row>
    <row r="26" spans="1:1" x14ac:dyDescent="0.2">
      <c r="A26" s="88" t="str">
        <f>'Case - Answers'!K5</f>
        <v xml:space="preserve"> -</v>
      </c>
    </row>
    <row r="27" spans="1:1" x14ac:dyDescent="0.2">
      <c r="A27" s="88">
        <f>'Case - Answers'!K6</f>
        <v>1655919</v>
      </c>
    </row>
    <row r="28" spans="1:1" x14ac:dyDescent="0.2">
      <c r="A28" s="88">
        <f>'Case - Answers'!K7</f>
        <v>5500000</v>
      </c>
    </row>
    <row r="29" spans="1:1" x14ac:dyDescent="0.2">
      <c r="A29" s="88">
        <f>'Case - Answers'!K8</f>
        <v>7155919</v>
      </c>
    </row>
    <row r="30" spans="1:1" x14ac:dyDescent="0.2">
      <c r="A30" s="88">
        <f>'Case - Answers'!K11</f>
        <v>500000</v>
      </c>
    </row>
    <row r="31" spans="1:1" x14ac:dyDescent="0.2">
      <c r="A31" s="88">
        <f>'Case - Answers'!K12</f>
        <v>7546245.4791666698</v>
      </c>
    </row>
    <row r="32" spans="1:1" x14ac:dyDescent="0.2">
      <c r="A32" s="88">
        <f>'Case - Answers'!K13</f>
        <v>8046245.4791666698</v>
      </c>
    </row>
    <row r="33" spans="1:1" x14ac:dyDescent="0.2">
      <c r="A33" s="88">
        <f>'Case - Answers'!K14</f>
        <v>15202164.47916667</v>
      </c>
    </row>
    <row r="34" spans="1:1" x14ac:dyDescent="0.2">
      <c r="A34" s="88" t="s">
        <v>124</v>
      </c>
    </row>
    <row r="35" spans="1:1" x14ac:dyDescent="0.2">
      <c r="A35" s="88">
        <f>'Case - Answers'!O4</f>
        <v>13246315.25</v>
      </c>
    </row>
    <row r="36" spans="1:1" x14ac:dyDescent="0.2">
      <c r="A36" s="88">
        <f>'Case - Answers'!O5</f>
        <v>1800000</v>
      </c>
    </row>
    <row r="37" spans="1:1" x14ac:dyDescent="0.2">
      <c r="A37" s="88">
        <f>'Case - Answers'!O6</f>
        <v>155619</v>
      </c>
    </row>
    <row r="38" spans="1:1" x14ac:dyDescent="0.2">
      <c r="A38" s="88">
        <f>'Case - Answers'!O7</f>
        <v>15201934.25</v>
      </c>
    </row>
    <row r="39" spans="1:1" x14ac:dyDescent="0.2">
      <c r="A39" s="88">
        <f>'Case - Answers'!O10</f>
        <v>-500000</v>
      </c>
    </row>
    <row r="40" spans="1:1" x14ac:dyDescent="0.2">
      <c r="A40" s="88" t="str">
        <f>'Case - Answers'!O11</f>
        <v>-</v>
      </c>
    </row>
    <row r="41" spans="1:1" x14ac:dyDescent="0.2">
      <c r="A41" s="88" t="str">
        <f>'Case - Answers'!O12</f>
        <v>-</v>
      </c>
    </row>
    <row r="42" spans="1:1" x14ac:dyDescent="0.2">
      <c r="A42" s="88">
        <f>'Case - Answers'!O13</f>
        <v>-500000</v>
      </c>
    </row>
    <row r="43" spans="1:1" x14ac:dyDescent="0.2">
      <c r="A43" s="88">
        <f>'Case - Answers'!O16</f>
        <v>200000</v>
      </c>
    </row>
    <row r="44" spans="1:1" x14ac:dyDescent="0.2">
      <c r="A44" s="88">
        <f>'Case - Answers'!O17</f>
        <v>-9934736.4375</v>
      </c>
    </row>
    <row r="45" spans="1:1" x14ac:dyDescent="0.2">
      <c r="A45" s="88">
        <f>'Case - Answers'!O18</f>
        <v>-9734736.4375</v>
      </c>
    </row>
    <row r="46" spans="1:1" x14ac:dyDescent="0.2">
      <c r="A46" s="88">
        <f>'Case - Answers'!$O$20</f>
        <v>4967197.8125</v>
      </c>
    </row>
    <row r="47" spans="1:1" x14ac:dyDescent="0.2">
      <c r="A47" s="88" t="s">
        <v>152</v>
      </c>
    </row>
    <row r="48" spans="1:1" x14ac:dyDescent="0.2">
      <c r="A48" s="88">
        <f>'Case - Answers'!S4</f>
        <v>1.4276662690909092</v>
      </c>
    </row>
    <row r="49" spans="1:1" x14ac:dyDescent="0.2">
      <c r="A49" s="88">
        <f>'Case - Answers'!S5</f>
        <v>3.8376662626613984</v>
      </c>
    </row>
    <row r="50" spans="1:1" x14ac:dyDescent="0.2">
      <c r="A50" s="88">
        <f>'Case - Answers'!S6</f>
        <v>3.5381347034486592</v>
      </c>
    </row>
    <row r="51" spans="1:1" x14ac:dyDescent="0.2">
      <c r="A51" s="88">
        <f>'Case - Answers'!S8</f>
        <v>7.3305884714061431</v>
      </c>
    </row>
    <row r="52" spans="1:1" x14ac:dyDescent="0.2">
      <c r="A52" s="88">
        <f>'Case - Answers'!S9</f>
        <v>228.85085574572128</v>
      </c>
    </row>
    <row r="53" spans="1:1" x14ac:dyDescent="0.2">
      <c r="A53" s="88">
        <f>'Case - Answers'!S10</f>
        <v>1.5949252136752137</v>
      </c>
    </row>
    <row r="54" spans="1:1" x14ac:dyDescent="0.2">
      <c r="A54" s="88">
        <f>'Case - Answers'!S11</f>
        <v>57.450190869633424</v>
      </c>
    </row>
    <row r="55" spans="1:1" x14ac:dyDescent="0.2">
      <c r="A55" s="88">
        <f>'Case - Answers'!S12</f>
        <v>6.3533296317197943</v>
      </c>
    </row>
    <row r="56" spans="1:1" x14ac:dyDescent="0.2">
      <c r="A56" s="88">
        <f>'Case - Answers'!S14</f>
        <v>0.14152046207264957</v>
      </c>
    </row>
    <row r="57" spans="1:1" x14ac:dyDescent="0.2">
      <c r="A57" s="88">
        <f>'Case - Answers'!S15</f>
        <v>0.19849946581196581</v>
      </c>
    </row>
    <row r="58" spans="1:1" x14ac:dyDescent="0.2">
      <c r="A58" s="88">
        <f>'Case - Answers'!S16</f>
        <v>0.41313034188034187</v>
      </c>
    </row>
    <row r="59" spans="1:1" x14ac:dyDescent="0.2">
      <c r="A59" s="88">
        <f>'Case - Answers'!S17</f>
        <v>1.0374282677378353</v>
      </c>
    </row>
    <row r="60" spans="1:1" x14ac:dyDescent="0.2">
      <c r="A60" s="88">
        <f>'Case - Answers'!S18</f>
        <v>26.492630500000001</v>
      </c>
    </row>
    <row r="61" spans="1:1" x14ac:dyDescent="0.2">
      <c r="A61" s="88">
        <f>'Case - Answers'!S20</f>
        <v>0.47071711461972027</v>
      </c>
    </row>
    <row r="62" spans="1:1" x14ac:dyDescent="0.2">
      <c r="A62" s="88">
        <f>'Case - Answers'!S21</f>
        <v>0.88934882965329576</v>
      </c>
    </row>
    <row r="63" spans="1:1" x14ac:dyDescent="0.2">
      <c r="A63" s="88">
        <f>'Case - Answers'!S22</f>
        <v>51.708936825885978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 --&gt;</vt:lpstr>
      <vt:lpstr>Questions --&gt;</vt:lpstr>
      <vt:lpstr>Case 1--&gt;</vt:lpstr>
      <vt:lpstr>Case - Answers</vt:lpstr>
      <vt:lpstr>Case - Solving&amp;Explanation</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2020-03-26T21:50:46Z</dcterms:modified>
</cp:coreProperties>
</file>