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filterPrivacy="1"/>
  <xr:revisionPtr revIDLastSave="0" documentId="8_{81EEC661-9B71-3449-8A39-89CCA06CA5B2}" xr6:coauthVersionLast="45" xr6:coauthVersionMax="45" xr10:uidLastSave="{00000000-0000-0000-0000-000000000000}"/>
  <bookViews>
    <workbookView xWindow="0" yWindow="0" windowWidth="28800" windowHeight="18000" activeTab="4" xr2:uid="{00000000-000D-0000-FFFF-FFFF00000000}"/>
  </bookViews>
  <sheets>
    <sheet name="Instructions" sheetId="4" r:id="rId1"/>
    <sheet name="Questions" sheetId="2" r:id="rId2"/>
    <sheet name="Case" sheetId="5" r:id="rId3"/>
    <sheet name="Case bonus" sheetId="3" r:id="rId4"/>
    <sheet name="Розв'язок бонусного"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5" i="2" l="1"/>
  <c r="C124" i="2"/>
  <c r="G125" i="2"/>
  <c r="G124" i="2"/>
  <c r="H123" i="2"/>
  <c r="H122" i="2"/>
  <c r="Q43" i="5"/>
  <c r="D42" i="5"/>
  <c r="C121" i="6"/>
  <c r="G77" i="6"/>
  <c r="F77" i="6"/>
  <c r="F80" i="6"/>
  <c r="J108" i="6"/>
  <c r="K108" i="6" s="1"/>
  <c r="I108" i="6"/>
  <c r="I109" i="6" s="1"/>
  <c r="I110" i="6" s="1"/>
  <c r="I111" i="6" s="1"/>
  <c r="H107" i="6"/>
  <c r="G107" i="6"/>
  <c r="F107" i="6"/>
  <c r="G106" i="6"/>
  <c r="H106" i="6"/>
  <c r="H113" i="6" s="1"/>
  <c r="H119" i="6" s="1"/>
  <c r="F106" i="6"/>
  <c r="F113" i="6" s="1"/>
  <c r="F119" i="6" s="1"/>
  <c r="C97" i="6"/>
  <c r="C96" i="6"/>
  <c r="C95" i="6"/>
  <c r="C94" i="6"/>
  <c r="C93" i="6"/>
  <c r="C115" i="6"/>
  <c r="C116" i="6" s="1"/>
  <c r="E113" i="6"/>
  <c r="D113" i="6"/>
  <c r="C113" i="6"/>
  <c r="C117" i="6" s="1"/>
  <c r="C118" i="6" s="1"/>
  <c r="H70" i="6"/>
  <c r="I70" i="6" s="1"/>
  <c r="G69" i="6"/>
  <c r="G68" i="6"/>
  <c r="G75" i="6" s="1"/>
  <c r="G81" i="6" s="1"/>
  <c r="F69" i="6"/>
  <c r="F68" i="6"/>
  <c r="F75" i="6" s="1"/>
  <c r="F81" i="6" s="1"/>
  <c r="C77" i="6"/>
  <c r="C78" i="6" s="1"/>
  <c r="E75" i="6"/>
  <c r="D75" i="6"/>
  <c r="C75" i="6"/>
  <c r="C76" i="6" s="1"/>
  <c r="D76" i="6" s="1"/>
  <c r="E76" i="6" s="1"/>
  <c r="C58" i="6"/>
  <c r="C57" i="6"/>
  <c r="C56" i="6"/>
  <c r="C55" i="6"/>
  <c r="C40" i="6"/>
  <c r="C41" i="6" s="1"/>
  <c r="E38" i="6"/>
  <c r="D38" i="6"/>
  <c r="C38" i="6"/>
  <c r="F37" i="6"/>
  <c r="F33" i="6"/>
  <c r="G33" i="6" s="1"/>
  <c r="C21" i="6"/>
  <c r="C22" i="6" s="1"/>
  <c r="E18" i="6"/>
  <c r="D18" i="6"/>
  <c r="C18" i="6"/>
  <c r="E14" i="6"/>
  <c r="E15" i="6" s="1"/>
  <c r="D14" i="6"/>
  <c r="D15" i="6" s="1"/>
  <c r="C14" i="6"/>
  <c r="C15" i="6" s="1"/>
  <c r="C9" i="6"/>
  <c r="C8" i="6"/>
  <c r="C7" i="6"/>
  <c r="C6" i="6"/>
  <c r="C5" i="6"/>
  <c r="F83" i="3"/>
  <c r="L108" i="6" l="1"/>
  <c r="K109" i="6"/>
  <c r="K110" i="6"/>
  <c r="G113" i="6"/>
  <c r="G119" i="6" s="1"/>
  <c r="J109" i="6"/>
  <c r="J110" i="6" s="1"/>
  <c r="H71" i="6"/>
  <c r="C114" i="6"/>
  <c r="I71" i="6"/>
  <c r="I72" i="6" s="1"/>
  <c r="J70" i="6"/>
  <c r="H72" i="6"/>
  <c r="C79" i="6"/>
  <c r="C80" i="6" s="1"/>
  <c r="C59" i="6"/>
  <c r="C42" i="6"/>
  <c r="C39" i="6"/>
  <c r="D40" i="6" s="1"/>
  <c r="D42" i="6" s="1"/>
  <c r="C10" i="6"/>
  <c r="H33" i="6"/>
  <c r="G34" i="6"/>
  <c r="G35" i="6" s="1"/>
  <c r="F34" i="6"/>
  <c r="F35" i="6" s="1"/>
  <c r="G9" i="6"/>
  <c r="I112" i="6" s="1"/>
  <c r="E16" i="6"/>
  <c r="E17" i="6" s="1"/>
  <c r="D16" i="6"/>
  <c r="D17" i="6" s="1"/>
  <c r="C16" i="6"/>
  <c r="C145" i="2"/>
  <c r="K112" i="6" l="1"/>
  <c r="M108" i="6"/>
  <c r="L112" i="6"/>
  <c r="L109" i="6"/>
  <c r="L110" i="6"/>
  <c r="J112" i="6"/>
  <c r="J111" i="6"/>
  <c r="J113" i="6" s="1"/>
  <c r="J119" i="6" s="1"/>
  <c r="D114" i="6"/>
  <c r="D115" i="6"/>
  <c r="H73" i="6"/>
  <c r="I73" i="6"/>
  <c r="I75" i="6"/>
  <c r="I81" i="6" s="1"/>
  <c r="G37" i="6"/>
  <c r="H74" i="6"/>
  <c r="H75" i="6" s="1"/>
  <c r="H81" i="6" s="1"/>
  <c r="J71" i="6"/>
  <c r="J72" i="6" s="1"/>
  <c r="J74" i="6"/>
  <c r="K70" i="6"/>
  <c r="I74" i="6"/>
  <c r="D39" i="6"/>
  <c r="D77" i="6"/>
  <c r="D78" i="6" s="1"/>
  <c r="D41" i="6"/>
  <c r="E39" i="6"/>
  <c r="F36" i="6"/>
  <c r="F38" i="6" s="1"/>
  <c r="F43" i="6" s="1"/>
  <c r="G36" i="6"/>
  <c r="H37" i="6"/>
  <c r="H34" i="6"/>
  <c r="H35" i="6" s="1"/>
  <c r="I33" i="6"/>
  <c r="D19" i="6"/>
  <c r="E19" i="6"/>
  <c r="C17" i="6"/>
  <c r="C19" i="6" s="1"/>
  <c r="N108" i="6" l="1"/>
  <c r="M112" i="6"/>
  <c r="M109" i="6"/>
  <c r="M110" i="6"/>
  <c r="I113" i="6"/>
  <c r="I119" i="6" s="1"/>
  <c r="E114" i="6"/>
  <c r="D117" i="6"/>
  <c r="D118" i="6" s="1"/>
  <c r="D116" i="6"/>
  <c r="E115" i="6" s="1"/>
  <c r="E117" i="6" s="1"/>
  <c r="J73" i="6"/>
  <c r="J75" i="6"/>
  <c r="J81" i="6" s="1"/>
  <c r="G38" i="6"/>
  <c r="G43" i="6" s="1"/>
  <c r="L70" i="6"/>
  <c r="K74" i="6"/>
  <c r="K71" i="6"/>
  <c r="K72" i="6"/>
  <c r="E40" i="6"/>
  <c r="E41" i="6" s="1"/>
  <c r="F40" i="6" s="1"/>
  <c r="E42" i="6"/>
  <c r="E77" i="6"/>
  <c r="E79" i="6" s="1"/>
  <c r="D79" i="6"/>
  <c r="D80" i="6" s="1"/>
  <c r="F39" i="6"/>
  <c r="H36" i="6"/>
  <c r="H38" i="6" s="1"/>
  <c r="H43" i="6" s="1"/>
  <c r="C20" i="6"/>
  <c r="C23" i="6"/>
  <c r="J33" i="6"/>
  <c r="I34" i="6"/>
  <c r="I35" i="6" s="1"/>
  <c r="I37" i="6"/>
  <c r="T35" i="5"/>
  <c r="D29" i="5" s="1"/>
  <c r="D44" i="5"/>
  <c r="D46" i="5" s="1"/>
  <c r="S67" i="5" s="1"/>
  <c r="O108" i="6" l="1"/>
  <c r="N112" i="6"/>
  <c r="N109" i="6"/>
  <c r="N110" i="6" s="1"/>
  <c r="E78" i="6"/>
  <c r="K111" i="6"/>
  <c r="K113" i="6" s="1"/>
  <c r="K119" i="6" s="1"/>
  <c r="E116" i="6"/>
  <c r="E118" i="6"/>
  <c r="G39" i="6"/>
  <c r="K73" i="6"/>
  <c r="K75" i="6" s="1"/>
  <c r="K81" i="6" s="1"/>
  <c r="E80" i="6"/>
  <c r="M70" i="6"/>
  <c r="L74" i="6"/>
  <c r="L71" i="6"/>
  <c r="L72" i="6" s="1"/>
  <c r="F41" i="6"/>
  <c r="G40" i="6" s="1"/>
  <c r="G44" i="6" s="1"/>
  <c r="F44" i="6"/>
  <c r="F42" i="6"/>
  <c r="H39" i="6"/>
  <c r="I36" i="6"/>
  <c r="I38" i="6" s="1"/>
  <c r="I43" i="6" s="1"/>
  <c r="K33" i="6"/>
  <c r="J34" i="6"/>
  <c r="J35" i="6" s="1"/>
  <c r="J37" i="6"/>
  <c r="D20" i="6"/>
  <c r="D21" i="6"/>
  <c r="P108" i="6" l="1"/>
  <c r="O112" i="6"/>
  <c r="O109" i="6"/>
  <c r="O110" i="6" s="1"/>
  <c r="L111" i="6"/>
  <c r="L113" i="6" s="1"/>
  <c r="L119" i="6" s="1"/>
  <c r="L73" i="6"/>
  <c r="L75" i="6"/>
  <c r="L81" i="6" s="1"/>
  <c r="N70" i="6"/>
  <c r="M74" i="6"/>
  <c r="M71" i="6"/>
  <c r="M72" i="6"/>
  <c r="G41" i="6"/>
  <c r="H40" i="6" s="1"/>
  <c r="H44" i="6" s="1"/>
  <c r="G42" i="6"/>
  <c r="J36" i="6"/>
  <c r="J38" i="6"/>
  <c r="J43" i="6" s="1"/>
  <c r="I39" i="6"/>
  <c r="E21" i="6"/>
  <c r="E23" i="6" s="1"/>
  <c r="E20" i="6"/>
  <c r="D22" i="6"/>
  <c r="D23" i="6"/>
  <c r="L33" i="6"/>
  <c r="K34" i="6"/>
  <c r="K35" i="6" s="1"/>
  <c r="K37" i="6"/>
  <c r="Q108" i="6" l="1"/>
  <c r="P112" i="6"/>
  <c r="P109" i="6"/>
  <c r="P110" i="6" s="1"/>
  <c r="M111" i="6"/>
  <c r="M113" i="6" s="1"/>
  <c r="M119" i="6" s="1"/>
  <c r="M73" i="6"/>
  <c r="M75" i="6" s="1"/>
  <c r="M81" i="6" s="1"/>
  <c r="O70" i="6"/>
  <c r="N74" i="6"/>
  <c r="N71" i="6"/>
  <c r="N72" i="6" s="1"/>
  <c r="H41" i="6"/>
  <c r="I40" i="6" s="1"/>
  <c r="H42" i="6"/>
  <c r="J39" i="6"/>
  <c r="K36" i="6"/>
  <c r="K38" i="6" s="1"/>
  <c r="K43" i="6" s="1"/>
  <c r="E22" i="6"/>
  <c r="M33" i="6"/>
  <c r="L34" i="6"/>
  <c r="L35" i="6" s="1"/>
  <c r="L37" i="6"/>
  <c r="F24" i="6"/>
  <c r="C98" i="6" s="1"/>
  <c r="C99" i="6" s="1"/>
  <c r="F118" i="6" s="1"/>
  <c r="R108" i="6" l="1"/>
  <c r="Q112" i="6"/>
  <c r="Q109" i="6"/>
  <c r="Q110" i="6" s="1"/>
  <c r="F115" i="6"/>
  <c r="N111" i="6"/>
  <c r="N113" i="6" s="1"/>
  <c r="N119" i="6" s="1"/>
  <c r="N73" i="6"/>
  <c r="N75" i="6" s="1"/>
  <c r="N81" i="6" s="1"/>
  <c r="P70" i="6"/>
  <c r="O74" i="6"/>
  <c r="O71" i="6"/>
  <c r="O72" i="6"/>
  <c r="F25" i="6"/>
  <c r="C60" i="6"/>
  <c r="C61" i="6" s="1"/>
  <c r="F82" i="6" s="1"/>
  <c r="I41" i="6"/>
  <c r="J40" i="6" s="1"/>
  <c r="J42" i="6" s="1"/>
  <c r="I44" i="6"/>
  <c r="I42" i="6"/>
  <c r="L36" i="6"/>
  <c r="L38" i="6" s="1"/>
  <c r="L43" i="6" s="1"/>
  <c r="K39" i="6"/>
  <c r="N33" i="6"/>
  <c r="M37" i="6"/>
  <c r="M34" i="6"/>
  <c r="M35" i="6" s="1"/>
  <c r="S108" i="6" l="1"/>
  <c r="R109" i="6"/>
  <c r="R110" i="6"/>
  <c r="R112" i="6"/>
  <c r="F120" i="6"/>
  <c r="F117" i="6"/>
  <c r="G115" i="6"/>
  <c r="G118" i="6" s="1"/>
  <c r="O111" i="6"/>
  <c r="O113" i="6" s="1"/>
  <c r="O119" i="6" s="1"/>
  <c r="O73" i="6"/>
  <c r="O75" i="6"/>
  <c r="O81" i="6" s="1"/>
  <c r="F79" i="6"/>
  <c r="Q70" i="6"/>
  <c r="P74" i="6"/>
  <c r="P71" i="6"/>
  <c r="P72" i="6" s="1"/>
  <c r="J41" i="6"/>
  <c r="K40" i="6" s="1"/>
  <c r="K42" i="6" s="1"/>
  <c r="J44" i="6"/>
  <c r="L39" i="6"/>
  <c r="M36" i="6"/>
  <c r="M38" i="6" s="1"/>
  <c r="M43" i="6" s="1"/>
  <c r="O33" i="6"/>
  <c r="N37" i="6"/>
  <c r="N34" i="6"/>
  <c r="N35" i="6" s="1"/>
  <c r="H37" i="5"/>
  <c r="I37" i="5"/>
  <c r="Q25" i="5"/>
  <c r="E37" i="5" s="1"/>
  <c r="S19" i="5"/>
  <c r="F36" i="5" s="1"/>
  <c r="E34" i="5"/>
  <c r="E35" i="5" s="1"/>
  <c r="E33" i="5"/>
  <c r="E32" i="5"/>
  <c r="R13" i="5"/>
  <c r="S11" i="5"/>
  <c r="T11" i="5" s="1"/>
  <c r="S6" i="5"/>
  <c r="T6" i="5" s="1"/>
  <c r="U6" i="5" s="1"/>
  <c r="V6" i="5" s="1"/>
  <c r="S5" i="5"/>
  <c r="T5" i="5" s="1"/>
  <c r="U5" i="5" s="1"/>
  <c r="V5" i="5" s="1"/>
  <c r="S4" i="5"/>
  <c r="T4" i="5" s="1"/>
  <c r="R59" i="5" l="1"/>
  <c r="E38" i="5"/>
  <c r="G37" i="5"/>
  <c r="H36" i="5"/>
  <c r="I36" i="5"/>
  <c r="G36" i="5"/>
  <c r="F37" i="5"/>
  <c r="S13" i="5"/>
  <c r="F34" i="5" s="1"/>
  <c r="T108" i="6"/>
  <c r="S112" i="6"/>
  <c r="S109" i="6"/>
  <c r="S110" i="6" s="1"/>
  <c r="H118" i="6"/>
  <c r="I118" i="6" s="1"/>
  <c r="H115" i="6"/>
  <c r="G120" i="6"/>
  <c r="G117" i="6"/>
  <c r="P111" i="6"/>
  <c r="P113" i="6" s="1"/>
  <c r="P119" i="6" s="1"/>
  <c r="P73" i="6"/>
  <c r="P75" i="6" s="1"/>
  <c r="P81" i="6" s="1"/>
  <c r="R70" i="6"/>
  <c r="Q71" i="6"/>
  <c r="Q72" i="6"/>
  <c r="Q74" i="6"/>
  <c r="K41" i="6"/>
  <c r="L40" i="6" s="1"/>
  <c r="K44" i="6"/>
  <c r="M39" i="6"/>
  <c r="N36" i="6"/>
  <c r="N38" i="6" s="1"/>
  <c r="N43" i="6" s="1"/>
  <c r="P33" i="6"/>
  <c r="O37" i="6"/>
  <c r="O34" i="6"/>
  <c r="O35" i="6" s="1"/>
  <c r="U11" i="5"/>
  <c r="T13" i="5"/>
  <c r="G34" i="5" s="1"/>
  <c r="U4" i="5"/>
  <c r="H32" i="5" s="1"/>
  <c r="G33" i="5"/>
  <c r="F33" i="5"/>
  <c r="F32" i="5"/>
  <c r="E36" i="5"/>
  <c r="G32" i="5"/>
  <c r="G35" i="5" s="1"/>
  <c r="I204" i="2"/>
  <c r="D204" i="2"/>
  <c r="E204" i="2"/>
  <c r="F204" i="2"/>
  <c r="G204" i="2"/>
  <c r="H204" i="2"/>
  <c r="J204" i="2"/>
  <c r="K204" i="2"/>
  <c r="L204" i="2"/>
  <c r="M204" i="2"/>
  <c r="N204" i="2"/>
  <c r="O204" i="2"/>
  <c r="P204" i="2"/>
  <c r="Q204" i="2"/>
  <c r="R204" i="2"/>
  <c r="S204" i="2"/>
  <c r="T204" i="2"/>
  <c r="U204" i="2"/>
  <c r="V204" i="2"/>
  <c r="C204" i="2"/>
  <c r="O22" i="2"/>
  <c r="C174" i="2"/>
  <c r="F180" i="2" s="1"/>
  <c r="H166" i="2"/>
  <c r="H167" i="2" s="1"/>
  <c r="D167" i="2"/>
  <c r="E167" i="2"/>
  <c r="F167" i="2"/>
  <c r="G167" i="2"/>
  <c r="C167" i="2"/>
  <c r="C168" i="2" s="1"/>
  <c r="O21" i="2" s="1"/>
  <c r="C146" i="2"/>
  <c r="C134" i="2"/>
  <c r="C133" i="2"/>
  <c r="C155" i="2"/>
  <c r="O20" i="2" s="1"/>
  <c r="F121" i="2"/>
  <c r="D121" i="2"/>
  <c r="F120" i="2"/>
  <c r="E121" i="2"/>
  <c r="G121" i="2"/>
  <c r="G120" i="2"/>
  <c r="E120" i="2"/>
  <c r="D120" i="2"/>
  <c r="T59" i="5" l="1"/>
  <c r="G38" i="5"/>
  <c r="F35" i="5"/>
  <c r="E39" i="5"/>
  <c r="R60" i="5" s="1"/>
  <c r="R61" i="5" s="1"/>
  <c r="E43" i="5" s="1"/>
  <c r="E44" i="5" s="1"/>
  <c r="U108" i="6"/>
  <c r="T112" i="6"/>
  <c r="T109" i="6"/>
  <c r="T110" i="6"/>
  <c r="H120" i="6"/>
  <c r="H117" i="6"/>
  <c r="I115" i="6"/>
  <c r="Q111" i="6"/>
  <c r="Q113" i="6" s="1"/>
  <c r="Q119" i="6" s="1"/>
  <c r="Q73" i="6"/>
  <c r="Q75" i="6"/>
  <c r="Q81" i="6" s="1"/>
  <c r="S70" i="6"/>
  <c r="R71" i="6"/>
  <c r="R72" i="6" s="1"/>
  <c r="R74" i="6"/>
  <c r="L41" i="6"/>
  <c r="M40" i="6" s="1"/>
  <c r="M42" i="6" s="1"/>
  <c r="L44" i="6"/>
  <c r="L42" i="6"/>
  <c r="O36" i="6"/>
  <c r="O38" i="6" s="1"/>
  <c r="O43" i="6" s="1"/>
  <c r="N39" i="6"/>
  <c r="Q33" i="6"/>
  <c r="P37" i="6"/>
  <c r="P34" i="6"/>
  <c r="P35" i="6" s="1"/>
  <c r="C193" i="2"/>
  <c r="E175" i="2"/>
  <c r="C186" i="2"/>
  <c r="C185" i="2"/>
  <c r="C192" i="2"/>
  <c r="G134" i="2"/>
  <c r="C179" i="2"/>
  <c r="C184" i="2"/>
  <c r="F179" i="2"/>
  <c r="C191" i="2"/>
  <c r="C183" i="2"/>
  <c r="F184" i="2"/>
  <c r="B205" i="2"/>
  <c r="O23" i="2" s="1"/>
  <c r="G133" i="2"/>
  <c r="C190" i="2"/>
  <c r="C182" i="2"/>
  <c r="F183" i="2"/>
  <c r="C188" i="2"/>
  <c r="C180" i="2"/>
  <c r="F181" i="2"/>
  <c r="C189" i="2"/>
  <c r="C181" i="2"/>
  <c r="F182" i="2"/>
  <c r="C187" i="2"/>
  <c r="C194" i="2"/>
  <c r="V4" i="5"/>
  <c r="H33" i="5"/>
  <c r="V11" i="5"/>
  <c r="V13" i="5" s="1"/>
  <c r="I34" i="5" s="1"/>
  <c r="U13" i="5"/>
  <c r="H34" i="5" s="1"/>
  <c r="F146" i="2"/>
  <c r="O19" i="2" s="1"/>
  <c r="E135" i="2"/>
  <c r="C135" i="2"/>
  <c r="O18" i="2" s="1"/>
  <c r="E45" i="5" l="1"/>
  <c r="E40" i="5"/>
  <c r="S59" i="5"/>
  <c r="F38" i="5"/>
  <c r="H35" i="5"/>
  <c r="G39" i="5"/>
  <c r="T60" i="5" s="1"/>
  <c r="T61" i="5" s="1"/>
  <c r="G43" i="5" s="1"/>
  <c r="G44" i="5" s="1"/>
  <c r="G45" i="5" s="1"/>
  <c r="V108" i="6"/>
  <c r="U112" i="6"/>
  <c r="U109" i="6"/>
  <c r="U110" i="6"/>
  <c r="J118" i="6"/>
  <c r="J115" i="6"/>
  <c r="I120" i="6"/>
  <c r="I117" i="6"/>
  <c r="R111" i="6"/>
  <c r="R113" i="6" s="1"/>
  <c r="R119" i="6" s="1"/>
  <c r="R73" i="6"/>
  <c r="R75" i="6" s="1"/>
  <c r="R81" i="6" s="1"/>
  <c r="T70" i="6"/>
  <c r="S74" i="6"/>
  <c r="S71" i="6"/>
  <c r="S72" i="6" s="1"/>
  <c r="M41" i="6"/>
  <c r="N40" i="6" s="1"/>
  <c r="N42" i="6" s="1"/>
  <c r="M44" i="6"/>
  <c r="O39" i="6"/>
  <c r="P36" i="6"/>
  <c r="P38" i="6" s="1"/>
  <c r="P43" i="6" s="1"/>
  <c r="R33" i="6"/>
  <c r="Q34" i="6"/>
  <c r="Q35" i="6" s="1"/>
  <c r="Q37" i="6"/>
  <c r="H135" i="2"/>
  <c r="P18" i="2" s="1"/>
  <c r="I33" i="5"/>
  <c r="I32" i="5"/>
  <c r="C126" i="2"/>
  <c r="O17" i="2" s="1"/>
  <c r="F113" i="2"/>
  <c r="F112" i="2"/>
  <c r="C102" i="2"/>
  <c r="C99" i="2" s="1"/>
  <c r="U59" i="5" l="1"/>
  <c r="H38" i="5"/>
  <c r="F39" i="5"/>
  <c r="S60" i="5" s="1"/>
  <c r="S61" i="5" s="1"/>
  <c r="F43" i="5" s="1"/>
  <c r="F44" i="5" s="1"/>
  <c r="F40" i="5"/>
  <c r="I35" i="5"/>
  <c r="G40" i="5"/>
  <c r="E46" i="5"/>
  <c r="W108" i="6"/>
  <c r="V112" i="6"/>
  <c r="V109" i="6"/>
  <c r="V110" i="6" s="1"/>
  <c r="J117" i="6"/>
  <c r="J120" i="6"/>
  <c r="K118" i="6"/>
  <c r="K115" i="6"/>
  <c r="S111" i="6"/>
  <c r="S113" i="6" s="1"/>
  <c r="S119" i="6" s="1"/>
  <c r="S73" i="6"/>
  <c r="S75" i="6" s="1"/>
  <c r="S81" i="6" s="1"/>
  <c r="U70" i="6"/>
  <c r="T74" i="6"/>
  <c r="T71" i="6"/>
  <c r="T72" i="6" s="1"/>
  <c r="N41" i="6"/>
  <c r="O40" i="6" s="1"/>
  <c r="O42" i="6" s="1"/>
  <c r="N44" i="6"/>
  <c r="P39" i="6"/>
  <c r="Q36" i="6"/>
  <c r="Q38" i="6" s="1"/>
  <c r="Q43" i="6" s="1"/>
  <c r="S33" i="6"/>
  <c r="R34" i="6"/>
  <c r="R35" i="6" s="1"/>
  <c r="R37" i="6"/>
  <c r="H112" i="2"/>
  <c r="P16" i="2" s="1"/>
  <c r="H113" i="2"/>
  <c r="O16" i="2" s="1"/>
  <c r="H100" i="2"/>
  <c r="O15" i="2" s="1"/>
  <c r="F45" i="5" l="1"/>
  <c r="S66" i="5" s="1"/>
  <c r="S68" i="5" s="1"/>
  <c r="S69" i="5" s="1"/>
  <c r="D52" i="5" s="1"/>
  <c r="V59" i="5"/>
  <c r="S49" i="5"/>
  <c r="S51" i="5" s="1"/>
  <c r="I42" i="5" s="1"/>
  <c r="I38" i="5"/>
  <c r="F46" i="5"/>
  <c r="G46" i="5" s="1"/>
  <c r="H39" i="5"/>
  <c r="U60" i="5" s="1"/>
  <c r="U61" i="5" s="1"/>
  <c r="H43" i="5" s="1"/>
  <c r="H44" i="5" s="1"/>
  <c r="X108" i="6"/>
  <c r="W112" i="6"/>
  <c r="W109" i="6"/>
  <c r="W110" i="6" s="1"/>
  <c r="K120" i="6"/>
  <c r="K117" i="6"/>
  <c r="L115" i="6"/>
  <c r="L118" i="6"/>
  <c r="T111" i="6"/>
  <c r="T113" i="6" s="1"/>
  <c r="T119" i="6" s="1"/>
  <c r="T73" i="6"/>
  <c r="T75" i="6"/>
  <c r="T81" i="6" s="1"/>
  <c r="V70" i="6"/>
  <c r="U74" i="6"/>
  <c r="U71" i="6"/>
  <c r="U72" i="6" s="1"/>
  <c r="O41" i="6"/>
  <c r="P40" i="6" s="1"/>
  <c r="P42" i="6" s="1"/>
  <c r="O44" i="6"/>
  <c r="R36" i="6"/>
  <c r="R38" i="6" s="1"/>
  <c r="R43" i="6" s="1"/>
  <c r="Q39" i="6"/>
  <c r="T33" i="6"/>
  <c r="S34" i="6"/>
  <c r="S35" i="6" s="1"/>
  <c r="S37" i="6"/>
  <c r="F92" i="2"/>
  <c r="F93" i="2" s="1"/>
  <c r="O14" i="2" s="1"/>
  <c r="H45" i="5" l="1"/>
  <c r="H46" i="5" s="1"/>
  <c r="I39" i="5"/>
  <c r="V60" i="5" s="1"/>
  <c r="V61" i="5" s="1"/>
  <c r="I43" i="5" s="1"/>
  <c r="I44" i="5" s="1"/>
  <c r="H40" i="5"/>
  <c r="Y108" i="6"/>
  <c r="X112" i="6"/>
  <c r="X109" i="6"/>
  <c r="X110" i="6" s="1"/>
  <c r="M118" i="6"/>
  <c r="M115" i="6"/>
  <c r="L117" i="6"/>
  <c r="L120" i="6"/>
  <c r="U111" i="6"/>
  <c r="U113" i="6" s="1"/>
  <c r="U119" i="6" s="1"/>
  <c r="U73" i="6"/>
  <c r="U75" i="6"/>
  <c r="U81" i="6" s="1"/>
  <c r="W70" i="6"/>
  <c r="V74" i="6"/>
  <c r="V71" i="6"/>
  <c r="V72" i="6" s="1"/>
  <c r="P41" i="6"/>
  <c r="Q40" i="6" s="1"/>
  <c r="Q42" i="6" s="1"/>
  <c r="P44" i="6"/>
  <c r="R39" i="6"/>
  <c r="S36" i="6"/>
  <c r="S38" i="6" s="1"/>
  <c r="S43" i="6" s="1"/>
  <c r="U33" i="6"/>
  <c r="T34" i="6"/>
  <c r="T35" i="6" s="1"/>
  <c r="T37" i="6"/>
  <c r="C88" i="2"/>
  <c r="D82" i="2"/>
  <c r="D79" i="2"/>
  <c r="C59" i="2"/>
  <c r="G62" i="2"/>
  <c r="H60" i="2"/>
  <c r="G60" i="2"/>
  <c r="F60" i="2"/>
  <c r="E60" i="2"/>
  <c r="D60" i="2"/>
  <c r="G49" i="2"/>
  <c r="F49" i="2"/>
  <c r="E49" i="2"/>
  <c r="D49" i="2"/>
  <c r="C49" i="2"/>
  <c r="I45" i="5" l="1"/>
  <c r="D50" i="5"/>
  <c r="D48" i="5"/>
  <c r="I46" i="5"/>
  <c r="I40" i="5"/>
  <c r="Z108" i="6"/>
  <c r="Y112" i="6"/>
  <c r="Y109" i="6"/>
  <c r="Y110" i="6" s="1"/>
  <c r="M120" i="6"/>
  <c r="M117" i="6"/>
  <c r="N118" i="6"/>
  <c r="N115" i="6"/>
  <c r="V111" i="6"/>
  <c r="V113" i="6" s="1"/>
  <c r="V119" i="6" s="1"/>
  <c r="V73" i="6"/>
  <c r="V75" i="6"/>
  <c r="V81" i="6" s="1"/>
  <c r="X70" i="6"/>
  <c r="W74" i="6"/>
  <c r="W71" i="6"/>
  <c r="W72" i="6" s="1"/>
  <c r="Q41" i="6"/>
  <c r="Q44" i="6"/>
  <c r="T36" i="6"/>
  <c r="T38" i="6" s="1"/>
  <c r="T43" i="6" s="1"/>
  <c r="S39" i="6"/>
  <c r="V33" i="6"/>
  <c r="U37" i="6"/>
  <c r="U34" i="6"/>
  <c r="U35" i="6" s="1"/>
  <c r="C70" i="2"/>
  <c r="O12" i="2" s="1"/>
  <c r="C50" i="2"/>
  <c r="O10" i="2" s="1"/>
  <c r="C61" i="2"/>
  <c r="C62" i="2" s="1"/>
  <c r="O11" i="2" s="1"/>
  <c r="H79" i="2"/>
  <c r="H80" i="2" s="1"/>
  <c r="O13" i="2" s="1"/>
  <c r="AA108" i="6" l="1"/>
  <c r="Z112" i="6"/>
  <c r="Z110" i="6"/>
  <c r="Z109" i="6"/>
  <c r="O115" i="6"/>
  <c r="O118" i="6"/>
  <c r="N117" i="6"/>
  <c r="N120" i="6"/>
  <c r="W111" i="6"/>
  <c r="W113" i="6" s="1"/>
  <c r="W119" i="6" s="1"/>
  <c r="W73" i="6"/>
  <c r="W75" i="6" s="1"/>
  <c r="W81" i="6" s="1"/>
  <c r="Y70" i="6"/>
  <c r="Z70" i="6" s="1"/>
  <c r="X74" i="6"/>
  <c r="X71" i="6"/>
  <c r="X72" i="6" s="1"/>
  <c r="R40" i="6"/>
  <c r="R41" i="6" s="1"/>
  <c r="S40" i="6" s="1"/>
  <c r="S42" i="6" s="1"/>
  <c r="U36" i="6"/>
  <c r="U38" i="6" s="1"/>
  <c r="U43" i="6" s="1"/>
  <c r="T39" i="6"/>
  <c r="W33" i="6"/>
  <c r="V37" i="6"/>
  <c r="V34" i="6"/>
  <c r="V35" i="6" s="1"/>
  <c r="C39" i="2"/>
  <c r="G37" i="2" s="1"/>
  <c r="D28" i="2"/>
  <c r="O8" i="2" s="1"/>
  <c r="AB108" i="6" l="1"/>
  <c r="AA109" i="6"/>
  <c r="AA112" i="6"/>
  <c r="AA110" i="6"/>
  <c r="AA70" i="6"/>
  <c r="Z74" i="6"/>
  <c r="Z71" i="6"/>
  <c r="Z72" i="6" s="1"/>
  <c r="P115" i="6"/>
  <c r="P118" i="6"/>
  <c r="O120" i="6"/>
  <c r="O117" i="6"/>
  <c r="X111" i="6"/>
  <c r="X113" i="6" s="1"/>
  <c r="X119" i="6" s="1"/>
  <c r="X73" i="6"/>
  <c r="X75" i="6"/>
  <c r="X81" i="6" s="1"/>
  <c r="Y71" i="6"/>
  <c r="Y72" i="6" s="1"/>
  <c r="Y74" i="6"/>
  <c r="S41" i="6"/>
  <c r="T40" i="6" s="1"/>
  <c r="T42" i="6" s="1"/>
  <c r="S44" i="6"/>
  <c r="R42" i="6"/>
  <c r="R44" i="6"/>
  <c r="U39" i="6"/>
  <c r="V36" i="6"/>
  <c r="V38" i="6" s="1"/>
  <c r="V43" i="6" s="1"/>
  <c r="X33" i="6"/>
  <c r="W37" i="6"/>
  <c r="W34" i="6"/>
  <c r="W35" i="6" s="1"/>
  <c r="G38" i="2"/>
  <c r="O9" i="2" s="1"/>
  <c r="C19" i="2"/>
  <c r="C18" i="2"/>
  <c r="C17" i="2"/>
  <c r="E9" i="2"/>
  <c r="E8" i="2"/>
  <c r="AC108" i="6" l="1"/>
  <c r="AB112" i="6"/>
  <c r="AB109" i="6"/>
  <c r="AB110" i="6"/>
  <c r="Q115" i="6"/>
  <c r="Q118" i="6"/>
  <c r="P117" i="6"/>
  <c r="P120" i="6"/>
  <c r="Z73" i="6"/>
  <c r="Z75" i="6" s="1"/>
  <c r="Z81" i="6" s="1"/>
  <c r="AA74" i="6"/>
  <c r="AB70" i="6"/>
  <c r="AA71" i="6"/>
  <c r="AA72" i="6" s="1"/>
  <c r="AA73" i="6" s="1"/>
  <c r="Y111" i="6"/>
  <c r="Y113" i="6"/>
  <c r="Y119" i="6" s="1"/>
  <c r="Y73" i="6"/>
  <c r="Y75" i="6" s="1"/>
  <c r="Y81" i="6" s="1"/>
  <c r="T41" i="6"/>
  <c r="U40" i="6" s="1"/>
  <c r="T44" i="6"/>
  <c r="V39" i="6"/>
  <c r="W36" i="6"/>
  <c r="W38" i="6" s="1"/>
  <c r="W43" i="6" s="1"/>
  <c r="Y33" i="6"/>
  <c r="X37" i="6"/>
  <c r="X34" i="6"/>
  <c r="X35" i="6" s="1"/>
  <c r="C20" i="2"/>
  <c r="O7" i="2" s="1"/>
  <c r="E10" i="2"/>
  <c r="O6" i="2" s="1"/>
  <c r="F91" i="3"/>
  <c r="D89" i="3"/>
  <c r="D90" i="3" s="1"/>
  <c r="D82" i="3"/>
  <c r="D83" i="3" s="1"/>
  <c r="E80" i="3" s="1"/>
  <c r="E82" i="3" s="1"/>
  <c r="AA75" i="6" l="1"/>
  <c r="AA81" i="6" s="1"/>
  <c r="AD108" i="6"/>
  <c r="AC112" i="6"/>
  <c r="AC109" i="6"/>
  <c r="AC110" i="6" s="1"/>
  <c r="AC70" i="6"/>
  <c r="AB71" i="6"/>
  <c r="AB72" i="6" s="1"/>
  <c r="AB73" i="6" s="1"/>
  <c r="AB74" i="6"/>
  <c r="R118" i="6"/>
  <c r="R115" i="6"/>
  <c r="Q120" i="6"/>
  <c r="Q117" i="6"/>
  <c r="Z111" i="6"/>
  <c r="Z113" i="6" s="1"/>
  <c r="Z119" i="6" s="1"/>
  <c r="U41" i="6"/>
  <c r="V40" i="6" s="1"/>
  <c r="V42" i="6" s="1"/>
  <c r="U44" i="6"/>
  <c r="U42" i="6"/>
  <c r="X36" i="6"/>
  <c r="X38" i="6" s="1"/>
  <c r="X43" i="6" s="1"/>
  <c r="W39" i="6"/>
  <c r="Z33" i="6"/>
  <c r="Y37" i="6"/>
  <c r="Y34" i="6"/>
  <c r="Y35" i="6" s="1"/>
  <c r="D92" i="3"/>
  <c r="E89" i="3" s="1"/>
  <c r="E83" i="3"/>
  <c r="F80" i="3" s="1"/>
  <c r="F82" i="3" s="1"/>
  <c r="AE108" i="6" l="1"/>
  <c r="AD112" i="6"/>
  <c r="AD109" i="6"/>
  <c r="AD110" i="6" s="1"/>
  <c r="S118" i="6"/>
  <c r="S115" i="6"/>
  <c r="R117" i="6"/>
  <c r="R120" i="6"/>
  <c r="AB75" i="6"/>
  <c r="AB81" i="6" s="1"/>
  <c r="AC74" i="6"/>
  <c r="AD70" i="6"/>
  <c r="AC71" i="6"/>
  <c r="AC72" i="6" s="1"/>
  <c r="AA111" i="6"/>
  <c r="AA113" i="6" s="1"/>
  <c r="AA119" i="6" s="1"/>
  <c r="V41" i="6"/>
  <c r="W40" i="6" s="1"/>
  <c r="W42" i="6" s="1"/>
  <c r="V44" i="6"/>
  <c r="X39" i="6"/>
  <c r="Y36" i="6"/>
  <c r="Y38" i="6" s="1"/>
  <c r="Y43" i="6" s="1"/>
  <c r="AA33" i="6"/>
  <c r="Z34" i="6"/>
  <c r="Z35" i="6" s="1"/>
  <c r="Z37" i="6"/>
  <c r="E90" i="3"/>
  <c r="E92" i="3" s="1"/>
  <c r="F89" i="3" s="1"/>
  <c r="F90" i="3" s="1"/>
  <c r="F92" i="3" s="1"/>
  <c r="AF108" i="6" l="1"/>
  <c r="AE112" i="6"/>
  <c r="AE109" i="6"/>
  <c r="AE110" i="6" s="1"/>
  <c r="AC73" i="6"/>
  <c r="AC75" i="6" s="1"/>
  <c r="AC81" i="6" s="1"/>
  <c r="T118" i="6"/>
  <c r="T115" i="6"/>
  <c r="S117" i="6"/>
  <c r="S120" i="6"/>
  <c r="AD74" i="6"/>
  <c r="AE70" i="6"/>
  <c r="AD71" i="6"/>
  <c r="AD72" i="6"/>
  <c r="AB111" i="6"/>
  <c r="AB113" i="6" s="1"/>
  <c r="AB119" i="6" s="1"/>
  <c r="W41" i="6"/>
  <c r="X40" i="6" s="1"/>
  <c r="X42" i="6" s="1"/>
  <c r="W44" i="6"/>
  <c r="Z36" i="6"/>
  <c r="Z38" i="6" s="1"/>
  <c r="Z43" i="6" s="1"/>
  <c r="Y39" i="6"/>
  <c r="AB33" i="6"/>
  <c r="AA34" i="6"/>
  <c r="AA35" i="6" s="1"/>
  <c r="AA37" i="6"/>
  <c r="AG108" i="6" l="1"/>
  <c r="AF112" i="6"/>
  <c r="AF109" i="6"/>
  <c r="AF110" i="6" s="1"/>
  <c r="T120" i="6"/>
  <c r="T117" i="6"/>
  <c r="AE71" i="6"/>
  <c r="AE72" i="6" s="1"/>
  <c r="AE74" i="6"/>
  <c r="AF70" i="6"/>
  <c r="AD73" i="6"/>
  <c r="AD75" i="6"/>
  <c r="AD81" i="6" s="1"/>
  <c r="U118" i="6"/>
  <c r="U115" i="6"/>
  <c r="AC111" i="6"/>
  <c r="AC113" i="6" s="1"/>
  <c r="AC119" i="6" s="1"/>
  <c r="X41" i="6"/>
  <c r="Y40" i="6" s="1"/>
  <c r="Y42" i="6" s="1"/>
  <c r="X44" i="6"/>
  <c r="Z39" i="6"/>
  <c r="AA36" i="6"/>
  <c r="AA38" i="6" s="1"/>
  <c r="AA43" i="6" s="1"/>
  <c r="AC33" i="6"/>
  <c r="AB34" i="6"/>
  <c r="AB35" i="6" s="1"/>
  <c r="AB37" i="6"/>
  <c r="AH108" i="6" l="1"/>
  <c r="AG112" i="6"/>
  <c r="AG109" i="6"/>
  <c r="AG110" i="6" s="1"/>
  <c r="AG70" i="6"/>
  <c r="AF71" i="6"/>
  <c r="AF72" i="6" s="1"/>
  <c r="AF74" i="6"/>
  <c r="AE73" i="6"/>
  <c r="AE75" i="6" s="1"/>
  <c r="AE81" i="6" s="1"/>
  <c r="U117" i="6"/>
  <c r="U120" i="6"/>
  <c r="V118" i="6"/>
  <c r="V115" i="6"/>
  <c r="AD111" i="6"/>
  <c r="AD113" i="6" s="1"/>
  <c r="AD119" i="6" s="1"/>
  <c r="Y41" i="6"/>
  <c r="Z40" i="6" s="1"/>
  <c r="Z42" i="6" s="1"/>
  <c r="Y44" i="6"/>
  <c r="AA39" i="6"/>
  <c r="AB36" i="6"/>
  <c r="AB38" i="6" s="1"/>
  <c r="AB43" i="6" s="1"/>
  <c r="AD33" i="6"/>
  <c r="AC37" i="6"/>
  <c r="AC34" i="6"/>
  <c r="AC35" i="6" s="1"/>
  <c r="AI108" i="6" l="1"/>
  <c r="AH109" i="6"/>
  <c r="AH110" i="6"/>
  <c r="AH112" i="6"/>
  <c r="AF73" i="6"/>
  <c r="AF75" i="6"/>
  <c r="AF81" i="6" s="1"/>
  <c r="AH70" i="6"/>
  <c r="AG71" i="6"/>
  <c r="AG72" i="6" s="1"/>
  <c r="AG73" i="6" s="1"/>
  <c r="AG74" i="6"/>
  <c r="V117" i="6"/>
  <c r="V120" i="6"/>
  <c r="W118" i="6"/>
  <c r="W115" i="6"/>
  <c r="AE111" i="6"/>
  <c r="AE113" i="6" s="1"/>
  <c r="AE119" i="6" s="1"/>
  <c r="Z41" i="6"/>
  <c r="AA40" i="6" s="1"/>
  <c r="AA42" i="6" s="1"/>
  <c r="Z44" i="6"/>
  <c r="AC36" i="6"/>
  <c r="AC38" i="6" s="1"/>
  <c r="AC43" i="6" s="1"/>
  <c r="AB39" i="6"/>
  <c r="AE33" i="6"/>
  <c r="AD37" i="6"/>
  <c r="AD34" i="6"/>
  <c r="AD35" i="6" s="1"/>
  <c r="AJ108" i="6" l="1"/>
  <c r="AI109" i="6"/>
  <c r="AI112" i="6"/>
  <c r="AI110" i="6"/>
  <c r="AG75" i="6"/>
  <c r="AG81" i="6" s="1"/>
  <c r="W120" i="6"/>
  <c r="W117" i="6"/>
  <c r="AH74" i="6"/>
  <c r="AI70" i="6"/>
  <c r="AH71" i="6"/>
  <c r="AH72" i="6" s="1"/>
  <c r="X118" i="6"/>
  <c r="X115" i="6"/>
  <c r="AF111" i="6"/>
  <c r="AF113" i="6" s="1"/>
  <c r="AF119" i="6" s="1"/>
  <c r="AA41" i="6"/>
  <c r="AB40" i="6" s="1"/>
  <c r="AB42" i="6" s="1"/>
  <c r="AA44" i="6"/>
  <c r="AD36" i="6"/>
  <c r="AD38" i="6" s="1"/>
  <c r="AD43" i="6" s="1"/>
  <c r="AC39" i="6"/>
  <c r="AF33" i="6"/>
  <c r="AE37" i="6"/>
  <c r="AE34" i="6"/>
  <c r="AE35" i="6" s="1"/>
  <c r="AK108" i="6" l="1"/>
  <c r="AJ112" i="6"/>
  <c r="AJ109" i="6"/>
  <c r="AJ110" i="6"/>
  <c r="AJ70" i="6"/>
  <c r="AI71" i="6"/>
  <c r="AI72" i="6" s="1"/>
  <c r="AI73" i="6" s="1"/>
  <c r="AI74" i="6"/>
  <c r="AH73" i="6"/>
  <c r="AH75" i="6" s="1"/>
  <c r="AH81" i="6" s="1"/>
  <c r="X117" i="6"/>
  <c r="X120" i="6"/>
  <c r="Y118" i="6"/>
  <c r="Y115" i="6"/>
  <c r="AG111" i="6"/>
  <c r="AG113" i="6" s="1"/>
  <c r="AG119" i="6" s="1"/>
  <c r="AB41" i="6"/>
  <c r="AC40" i="6" s="1"/>
  <c r="AC42" i="6" s="1"/>
  <c r="AB44" i="6"/>
  <c r="AE36" i="6"/>
  <c r="AE38" i="6" s="1"/>
  <c r="AE43" i="6" s="1"/>
  <c r="AD39" i="6"/>
  <c r="AG33" i="6"/>
  <c r="AF37" i="6"/>
  <c r="AF34" i="6"/>
  <c r="AF35" i="6" s="1"/>
  <c r="AL108" i="6" l="1"/>
  <c r="AK112" i="6"/>
  <c r="AK109" i="6"/>
  <c r="AK110" i="6"/>
  <c r="Z118" i="6"/>
  <c r="Z115" i="6"/>
  <c r="AI75" i="6"/>
  <c r="AI81" i="6" s="1"/>
  <c r="Y120" i="6"/>
  <c r="Y117" i="6"/>
  <c r="AK70" i="6"/>
  <c r="AJ74" i="6"/>
  <c r="AJ71" i="6"/>
  <c r="AJ72" i="6" s="1"/>
  <c r="AH111" i="6"/>
  <c r="AH113" i="6" s="1"/>
  <c r="AH119" i="6" s="1"/>
  <c r="AC41" i="6"/>
  <c r="AD40" i="6" s="1"/>
  <c r="AD42" i="6" s="1"/>
  <c r="AC44" i="6"/>
  <c r="AE39" i="6"/>
  <c r="AF36" i="6"/>
  <c r="AF38" i="6" s="1"/>
  <c r="AF43" i="6" s="1"/>
  <c r="AH33" i="6"/>
  <c r="AG34" i="6"/>
  <c r="AG35" i="6" s="1"/>
  <c r="AG37" i="6"/>
  <c r="AM108" i="6" l="1"/>
  <c r="AL112" i="6"/>
  <c r="AL109" i="6"/>
  <c r="AL110" i="6" s="1"/>
  <c r="AL70" i="6"/>
  <c r="AK71" i="6"/>
  <c r="AK72" i="6" s="1"/>
  <c r="AK74" i="6"/>
  <c r="Z120" i="6"/>
  <c r="Z117" i="6"/>
  <c r="AA118" i="6"/>
  <c r="AA115" i="6"/>
  <c r="AJ73" i="6"/>
  <c r="AJ75" i="6" s="1"/>
  <c r="AJ81" i="6" s="1"/>
  <c r="AI111" i="6"/>
  <c r="AI113" i="6" s="1"/>
  <c r="AI119" i="6" s="1"/>
  <c r="AD41" i="6"/>
  <c r="AE40" i="6" s="1"/>
  <c r="AE42" i="6" s="1"/>
  <c r="AD44" i="6"/>
  <c r="AF39" i="6"/>
  <c r="AG36" i="6"/>
  <c r="AG38" i="6" s="1"/>
  <c r="AG43" i="6" s="1"/>
  <c r="AI33" i="6"/>
  <c r="AH37" i="6"/>
  <c r="AH34" i="6"/>
  <c r="AH35" i="6" s="1"/>
  <c r="AN108" i="6" l="1"/>
  <c r="AM112" i="6"/>
  <c r="AM109" i="6"/>
  <c r="AM110" i="6" s="1"/>
  <c r="AK73" i="6"/>
  <c r="AK75" i="6" s="1"/>
  <c r="AK81" i="6" s="1"/>
  <c r="AB118" i="6"/>
  <c r="AB115" i="6"/>
  <c r="AA120" i="6"/>
  <c r="AA117" i="6"/>
  <c r="AL71" i="6"/>
  <c r="AL72" i="6" s="1"/>
  <c r="AM70" i="6"/>
  <c r="AL74" i="6"/>
  <c r="AJ111" i="6"/>
  <c r="AJ113" i="6" s="1"/>
  <c r="AJ119" i="6" s="1"/>
  <c r="AE41" i="6"/>
  <c r="AF40" i="6" s="1"/>
  <c r="AE44" i="6"/>
  <c r="AF42" i="6"/>
  <c r="AH36" i="6"/>
  <c r="AH38" i="6" s="1"/>
  <c r="AH43" i="6" s="1"/>
  <c r="AG39" i="6"/>
  <c r="AJ33" i="6"/>
  <c r="AI34" i="6"/>
  <c r="AI35" i="6" s="1"/>
  <c r="AI37" i="6"/>
  <c r="AO108" i="6" l="1"/>
  <c r="AN112" i="6"/>
  <c r="AN109" i="6"/>
  <c r="AN110" i="6" s="1"/>
  <c r="AB120" i="6"/>
  <c r="AB117" i="6"/>
  <c r="AC115" i="6"/>
  <c r="AC118" i="6"/>
  <c r="AN70" i="6"/>
  <c r="AM71" i="6"/>
  <c r="AM72" i="6" s="1"/>
  <c r="AM74" i="6"/>
  <c r="AL73" i="6"/>
  <c r="AL75" i="6" s="1"/>
  <c r="AL81" i="6" s="1"/>
  <c r="AK111" i="6"/>
  <c r="AK113" i="6" s="1"/>
  <c r="AK119" i="6" s="1"/>
  <c r="AF41" i="6"/>
  <c r="AG40" i="6" s="1"/>
  <c r="AG42" i="6" s="1"/>
  <c r="AF44" i="6"/>
  <c r="AI36" i="6"/>
  <c r="AI38" i="6" s="1"/>
  <c r="AI43" i="6" s="1"/>
  <c r="AH39" i="6"/>
  <c r="AK33" i="6"/>
  <c r="AJ34" i="6"/>
  <c r="AJ35" i="6" s="1"/>
  <c r="AJ37" i="6"/>
  <c r="AP108" i="6" l="1"/>
  <c r="AO112" i="6"/>
  <c r="AO109" i="6"/>
  <c r="AO110" i="6" s="1"/>
  <c r="AM73" i="6"/>
  <c r="AM75" i="6" s="1"/>
  <c r="AM81" i="6" s="1"/>
  <c r="AD118" i="6"/>
  <c r="AD115" i="6"/>
  <c r="AC120" i="6"/>
  <c r="AC117" i="6"/>
  <c r="AN71" i="6"/>
  <c r="AN72" i="6" s="1"/>
  <c r="AO70" i="6"/>
  <c r="AN74" i="6"/>
  <c r="AL111" i="6"/>
  <c r="AL113" i="6" s="1"/>
  <c r="AL119" i="6" s="1"/>
  <c r="AG41" i="6"/>
  <c r="AH40" i="6" s="1"/>
  <c r="AG44" i="6"/>
  <c r="AJ36" i="6"/>
  <c r="AJ38" i="6" s="1"/>
  <c r="AJ43" i="6" s="1"/>
  <c r="AI39" i="6"/>
  <c r="AL33" i="6"/>
  <c r="AK37" i="6"/>
  <c r="AK34" i="6"/>
  <c r="AK35" i="6" s="1"/>
  <c r="AQ108" i="6" l="1"/>
  <c r="AP112" i="6"/>
  <c r="AP109" i="6"/>
  <c r="AP110" i="6" s="1"/>
  <c r="AN73" i="6"/>
  <c r="AN75" i="6" s="1"/>
  <c r="AN81" i="6" s="1"/>
  <c r="AD120" i="6"/>
  <c r="AD117" i="6"/>
  <c r="AE115" i="6"/>
  <c r="AE118" i="6"/>
  <c r="AO74" i="6"/>
  <c r="AP70" i="6"/>
  <c r="AO71" i="6"/>
  <c r="AO72" i="6" s="1"/>
  <c r="AM111" i="6"/>
  <c r="AM113" i="6" s="1"/>
  <c r="AM119" i="6" s="1"/>
  <c r="AH41" i="6"/>
  <c r="AI40" i="6" s="1"/>
  <c r="AI44" i="6" s="1"/>
  <c r="AH42" i="6"/>
  <c r="AH44" i="6"/>
  <c r="AJ39" i="6"/>
  <c r="AK36" i="6"/>
  <c r="AK38" i="6" s="1"/>
  <c r="AK43" i="6" s="1"/>
  <c r="AM33" i="6"/>
  <c r="AL37" i="6"/>
  <c r="AL34" i="6"/>
  <c r="AL35" i="6" s="1"/>
  <c r="AR108" i="6" l="1"/>
  <c r="AQ112" i="6"/>
  <c r="AQ109" i="6"/>
  <c r="AQ110" i="6"/>
  <c r="AO73" i="6"/>
  <c r="AO75" i="6"/>
  <c r="AO81" i="6" s="1"/>
  <c r="AE120" i="6"/>
  <c r="AE117" i="6"/>
  <c r="AP71" i="6"/>
  <c r="AP72" i="6" s="1"/>
  <c r="AP74" i="6"/>
  <c r="AQ70" i="6"/>
  <c r="AI42" i="6"/>
  <c r="AI41" i="6"/>
  <c r="AJ40" i="6" s="1"/>
  <c r="AJ44" i="6" s="1"/>
  <c r="AF115" i="6"/>
  <c r="AF118" i="6"/>
  <c r="AN111" i="6"/>
  <c r="AN113" i="6" s="1"/>
  <c r="AN119" i="6" s="1"/>
  <c r="AK39" i="6"/>
  <c r="AL36" i="6"/>
  <c r="AL38" i="6" s="1"/>
  <c r="AL43" i="6" s="1"/>
  <c r="AJ42" i="6"/>
  <c r="AN33" i="6"/>
  <c r="AM37" i="6"/>
  <c r="AM34" i="6"/>
  <c r="AM35" i="6" s="1"/>
  <c r="AR112" i="6" l="1"/>
  <c r="AR109" i="6"/>
  <c r="AS108" i="6"/>
  <c r="AR110" i="6"/>
  <c r="AJ41" i="6"/>
  <c r="AK40" i="6" s="1"/>
  <c r="AK42" i="6" s="1"/>
  <c r="AR70" i="6"/>
  <c r="AQ71" i="6"/>
  <c r="AQ72" i="6" s="1"/>
  <c r="AQ73" i="6" s="1"/>
  <c r="AQ74" i="6"/>
  <c r="AP73" i="6"/>
  <c r="AP75" i="6"/>
  <c r="AP81" i="6" s="1"/>
  <c r="AG115" i="6"/>
  <c r="AG118" i="6"/>
  <c r="AF120" i="6"/>
  <c r="AF117" i="6"/>
  <c r="AO111" i="6"/>
  <c r="AO113" i="6" s="1"/>
  <c r="AO119" i="6" s="1"/>
  <c r="AL39" i="6"/>
  <c r="AM36" i="6"/>
  <c r="AM38" i="6"/>
  <c r="AM43" i="6" s="1"/>
  <c r="AO33" i="6"/>
  <c r="AN37" i="6"/>
  <c r="AN34" i="6"/>
  <c r="AN35" i="6" s="1"/>
  <c r="AK44" i="6" l="1"/>
  <c r="AS112" i="6"/>
  <c r="AS109" i="6"/>
  <c r="AS110" i="6"/>
  <c r="AK41" i="6"/>
  <c r="AL40" i="6" s="1"/>
  <c r="AL44" i="6" s="1"/>
  <c r="AQ75" i="6"/>
  <c r="AQ81" i="6" s="1"/>
  <c r="AR74" i="6"/>
  <c r="AS70" i="6"/>
  <c r="AR71" i="6"/>
  <c r="AR72" i="6" s="1"/>
  <c r="AR73" i="6" s="1"/>
  <c r="AG120" i="6"/>
  <c r="AG117" i="6"/>
  <c r="AH118" i="6"/>
  <c r="AH115" i="6"/>
  <c r="AP111" i="6"/>
  <c r="AP113" i="6" s="1"/>
  <c r="AP119" i="6" s="1"/>
  <c r="AM39" i="6"/>
  <c r="AN36" i="6"/>
  <c r="AN38" i="6" s="1"/>
  <c r="AN43" i="6" s="1"/>
  <c r="AL42" i="6"/>
  <c r="AP33" i="6"/>
  <c r="AO37" i="6"/>
  <c r="AO34" i="6"/>
  <c r="AO35" i="6" s="1"/>
  <c r="AL41" i="6" l="1"/>
  <c r="AM40" i="6" s="1"/>
  <c r="AR75" i="6"/>
  <c r="AR81" i="6" s="1"/>
  <c r="AI118" i="6"/>
  <c r="AI115" i="6"/>
  <c r="AS74" i="6"/>
  <c r="AS71" i="6"/>
  <c r="AS72" i="6" s="1"/>
  <c r="AS73" i="6" s="1"/>
  <c r="AS75" i="6" s="1"/>
  <c r="AS81" i="6" s="1"/>
  <c r="C84" i="6" s="1"/>
  <c r="AH117" i="6"/>
  <c r="AH120" i="6"/>
  <c r="AQ111" i="6"/>
  <c r="AQ113" i="6" s="1"/>
  <c r="AQ119" i="6" s="1"/>
  <c r="AM41" i="6"/>
  <c r="AN40" i="6" s="1"/>
  <c r="AM44" i="6"/>
  <c r="AM42" i="6"/>
  <c r="AO36" i="6"/>
  <c r="AO38" i="6" s="1"/>
  <c r="AO43" i="6" s="1"/>
  <c r="AN39" i="6"/>
  <c r="AQ33" i="6"/>
  <c r="AP34" i="6"/>
  <c r="AP35" i="6" s="1"/>
  <c r="AP37" i="6"/>
  <c r="AI120" i="6" l="1"/>
  <c r="AI117" i="6"/>
  <c r="AJ118" i="6"/>
  <c r="AJ115" i="6"/>
  <c r="AR111" i="6"/>
  <c r="AR113" i="6" s="1"/>
  <c r="AR119" i="6" s="1"/>
  <c r="AN41" i="6"/>
  <c r="AO40" i="6" s="1"/>
  <c r="AN44" i="6"/>
  <c r="AO39" i="6"/>
  <c r="AN42" i="6"/>
  <c r="AP36" i="6"/>
  <c r="AP38" i="6" s="1"/>
  <c r="AP43" i="6" s="1"/>
  <c r="AR33" i="6"/>
  <c r="AQ34" i="6"/>
  <c r="AQ35" i="6" s="1"/>
  <c r="AQ37" i="6"/>
  <c r="AK118" i="6" l="1"/>
  <c r="AK115" i="6"/>
  <c r="AJ120" i="6"/>
  <c r="AJ117" i="6"/>
  <c r="AS111" i="6"/>
  <c r="AS113" i="6" s="1"/>
  <c r="AS119" i="6" s="1"/>
  <c r="C122" i="6" s="1"/>
  <c r="AO41" i="6"/>
  <c r="AP40" i="6" s="1"/>
  <c r="AO44" i="6"/>
  <c r="AO42" i="6"/>
  <c r="AP39" i="6"/>
  <c r="AQ36" i="6"/>
  <c r="AQ38" i="6" s="1"/>
  <c r="AQ43" i="6" s="1"/>
  <c r="AS33" i="6"/>
  <c r="AR37" i="6"/>
  <c r="AR34" i="6"/>
  <c r="AR35" i="6" s="1"/>
  <c r="AK117" i="6" l="1"/>
  <c r="AK120" i="6"/>
  <c r="AL118" i="6"/>
  <c r="AL115" i="6"/>
  <c r="AP42" i="6"/>
  <c r="AP44" i="6"/>
  <c r="AP41" i="6"/>
  <c r="AQ40" i="6" s="1"/>
  <c r="AR36" i="6"/>
  <c r="AR38" i="6" s="1"/>
  <c r="AR43" i="6" s="1"/>
  <c r="AQ39" i="6"/>
  <c r="AS37" i="6"/>
  <c r="AS34" i="6"/>
  <c r="AS35" i="6" s="1"/>
  <c r="AL120" i="6" l="1"/>
  <c r="AL117" i="6"/>
  <c r="AM118" i="6"/>
  <c r="AM115" i="6"/>
  <c r="AQ42" i="6"/>
  <c r="AQ44" i="6"/>
  <c r="AS36" i="6"/>
  <c r="AS38" i="6"/>
  <c r="AS43" i="6" s="1"/>
  <c r="C46" i="6" s="1"/>
  <c r="AR39" i="6"/>
  <c r="AQ41" i="6"/>
  <c r="AM117" i="6" l="1"/>
  <c r="AM120" i="6"/>
  <c r="AN118" i="6"/>
  <c r="AN115" i="6"/>
  <c r="AR40" i="6"/>
  <c r="AS39" i="6"/>
  <c r="AO118" i="6" l="1"/>
  <c r="AO115" i="6"/>
  <c r="AN120" i="6"/>
  <c r="AN117" i="6"/>
  <c r="AR42" i="6"/>
  <c r="AR44" i="6"/>
  <c r="AR41" i="6"/>
  <c r="AS40" i="6" s="1"/>
  <c r="AS44" i="6" s="1"/>
  <c r="C47" i="6" s="1"/>
  <c r="AP118" i="6" l="1"/>
  <c r="AP115" i="6"/>
  <c r="AO120" i="6"/>
  <c r="AO117" i="6"/>
  <c r="AS41" i="6"/>
  <c r="AS42" i="6"/>
  <c r="C45" i="6" s="1"/>
  <c r="AP120" i="6" l="1"/>
  <c r="AP117" i="6"/>
  <c r="AQ115" i="6"/>
  <c r="AQ118" i="6"/>
  <c r="AQ120" i="6" l="1"/>
  <c r="AQ117" i="6"/>
  <c r="AR118" i="6"/>
  <c r="AR115" i="6"/>
  <c r="AS118" i="6" l="1"/>
  <c r="AS115" i="6"/>
  <c r="AR120" i="6"/>
  <c r="AR117" i="6"/>
  <c r="AS120" i="6" l="1"/>
  <c r="C123" i="6" s="1"/>
  <c r="AS117" i="6"/>
  <c r="G79" i="6"/>
  <c r="G82" i="6"/>
  <c r="G80" i="6"/>
  <c r="H77" i="6" s="1"/>
  <c r="H82" i="6" l="1"/>
  <c r="H79" i="6"/>
  <c r="H80" i="6"/>
  <c r="I80" i="6" l="1"/>
  <c r="I77" i="6"/>
  <c r="I79" i="6" l="1"/>
  <c r="I82" i="6"/>
  <c r="J80" i="6"/>
  <c r="J77" i="6"/>
  <c r="J79" i="6" l="1"/>
  <c r="J82" i="6"/>
  <c r="K77" i="6"/>
  <c r="K80" i="6"/>
  <c r="L80" i="6" l="1"/>
  <c r="L77" i="6"/>
  <c r="K82" i="6"/>
  <c r="K79" i="6"/>
  <c r="L82" i="6" l="1"/>
  <c r="L79" i="6"/>
  <c r="M77" i="6"/>
  <c r="M80" i="6"/>
  <c r="M79" i="6" l="1"/>
  <c r="M82" i="6"/>
  <c r="N80" i="6"/>
  <c r="N77" i="6"/>
  <c r="N82" i="6" l="1"/>
  <c r="N79" i="6"/>
  <c r="O77" i="6"/>
  <c r="O80" i="6"/>
  <c r="P80" i="6" l="1"/>
  <c r="P77" i="6"/>
  <c r="O79" i="6"/>
  <c r="O82" i="6"/>
  <c r="P82" i="6" l="1"/>
  <c r="P79" i="6"/>
  <c r="Q80" i="6"/>
  <c r="Q77" i="6"/>
  <c r="Q79" i="6" l="1"/>
  <c r="Q82" i="6"/>
  <c r="R80" i="6"/>
  <c r="R77" i="6"/>
  <c r="R82" i="6" l="1"/>
  <c r="R79" i="6"/>
  <c r="S77" i="6"/>
  <c r="S80" i="6"/>
  <c r="T80" i="6" l="1"/>
  <c r="T77" i="6"/>
  <c r="S82" i="6"/>
  <c r="S79" i="6"/>
  <c r="T82" i="6" l="1"/>
  <c r="T79" i="6"/>
  <c r="U77" i="6"/>
  <c r="U80" i="6"/>
  <c r="V77" i="6" l="1"/>
  <c r="V80" i="6"/>
  <c r="U82" i="6"/>
  <c r="U79" i="6"/>
  <c r="W80" i="6" l="1"/>
  <c r="W77" i="6"/>
  <c r="V82" i="6"/>
  <c r="V79" i="6"/>
  <c r="W82" i="6" l="1"/>
  <c r="W79" i="6"/>
  <c r="X80" i="6"/>
  <c r="X77" i="6"/>
  <c r="X79" i="6" l="1"/>
  <c r="X82" i="6"/>
  <c r="Y77" i="6"/>
  <c r="Y80" i="6"/>
  <c r="Y79" i="6" l="1"/>
  <c r="Y82" i="6"/>
  <c r="Z80" i="6"/>
  <c r="Z77" i="6"/>
  <c r="AA77" i="6" l="1"/>
  <c r="AA80" i="6"/>
  <c r="Z82" i="6"/>
  <c r="Z79" i="6"/>
  <c r="AB80" i="6" l="1"/>
  <c r="AB77" i="6"/>
  <c r="AA82" i="6"/>
  <c r="AA79" i="6"/>
  <c r="AB79" i="6" l="1"/>
  <c r="AB82" i="6"/>
  <c r="AC77" i="6"/>
  <c r="AC80" i="6"/>
  <c r="AC82" i="6" l="1"/>
  <c r="AC79" i="6"/>
  <c r="AD80" i="6"/>
  <c r="AD77" i="6"/>
  <c r="AD79" i="6" l="1"/>
  <c r="AD82" i="6"/>
  <c r="AE77" i="6"/>
  <c r="AE80" i="6"/>
  <c r="AE82" i="6" l="1"/>
  <c r="AE79" i="6"/>
  <c r="AF80" i="6"/>
  <c r="AF77" i="6"/>
  <c r="AG77" i="6" l="1"/>
  <c r="AG80" i="6"/>
  <c r="AF82" i="6"/>
  <c r="AF79" i="6"/>
  <c r="AH80" i="6" l="1"/>
  <c r="AH77" i="6"/>
  <c r="AG82" i="6"/>
  <c r="AG79" i="6"/>
  <c r="AH82" i="6" l="1"/>
  <c r="AH79" i="6"/>
  <c r="AI77" i="6"/>
  <c r="AI80" i="6"/>
  <c r="AJ80" i="6" l="1"/>
  <c r="AJ77" i="6"/>
  <c r="AI79" i="6"/>
  <c r="AI82" i="6"/>
  <c r="AJ79" i="6" l="1"/>
  <c r="AJ82" i="6"/>
  <c r="AK77" i="6"/>
  <c r="AK80" i="6"/>
  <c r="AL80" i="6" l="1"/>
  <c r="AL77" i="6"/>
  <c r="AK79" i="6"/>
  <c r="AK82" i="6"/>
  <c r="AL82" i="6" l="1"/>
  <c r="AL79" i="6"/>
  <c r="AM77" i="6"/>
  <c r="AM80" i="6"/>
  <c r="AN80" i="6" l="1"/>
  <c r="AN77" i="6"/>
  <c r="AM82" i="6"/>
  <c r="AM79" i="6"/>
  <c r="AN79" i="6" l="1"/>
  <c r="AN82" i="6"/>
  <c r="AO77" i="6"/>
  <c r="AO80" i="6"/>
  <c r="AP80" i="6" l="1"/>
  <c r="AP77" i="6"/>
  <c r="AO82" i="6"/>
  <c r="AO79" i="6"/>
  <c r="AP82" i="6" l="1"/>
  <c r="AP79" i="6"/>
  <c r="AQ77" i="6"/>
  <c r="AQ80" i="6"/>
  <c r="AR80" i="6" l="1"/>
  <c r="AR77" i="6"/>
  <c r="AQ82" i="6"/>
  <c r="AQ79" i="6"/>
  <c r="AR79" i="6" l="1"/>
  <c r="AR82" i="6"/>
  <c r="AS77" i="6"/>
  <c r="AS80" i="6"/>
  <c r="AS82" i="6" l="1"/>
  <c r="C85" i="6" s="1"/>
  <c r="AS79" i="6"/>
  <c r="C83" i="6" s="1"/>
</calcChain>
</file>

<file path=xl/sharedStrings.xml><?xml version="1.0" encoding="utf-8"?>
<sst xmlns="http://schemas.openxmlformats.org/spreadsheetml/2006/main" count="552" uniqueCount="404">
  <si>
    <t>Питання 1</t>
  </si>
  <si>
    <t>Рішення</t>
  </si>
  <si>
    <t>Питання 2</t>
  </si>
  <si>
    <t>Питання 3</t>
  </si>
  <si>
    <t>Питання 4</t>
  </si>
  <si>
    <t>Питання 5</t>
  </si>
  <si>
    <t>Питання 6</t>
  </si>
  <si>
    <t>Питання 7</t>
  </si>
  <si>
    <t>Використовуючи умову з питання 5 та 6, яким буде IRR проекту?</t>
  </si>
  <si>
    <t>Питання 8</t>
  </si>
  <si>
    <t>Питання 9</t>
  </si>
  <si>
    <t>У вас є дві опції, купити облігацію, або інвестувати гроші в фінансовий інструмент, що платить складний процент. Облігація платить купон розміром 5% протягом 10 років. Який річний відсоток ви б хотіли отримувати по фінансовому інструменту, щоб, в результаті, отримати з нього ту ж саму суму через 10 років, що й по облігації.</t>
  </si>
  <si>
    <t>Питання 10</t>
  </si>
  <si>
    <t>Питання 11</t>
  </si>
  <si>
    <t>Питання 12</t>
  </si>
  <si>
    <t>Питання 13</t>
  </si>
  <si>
    <t>Використовуючи умову питання 11, який проект матиме більший індекс прибутковості?</t>
  </si>
  <si>
    <t>Питання 14</t>
  </si>
  <si>
    <t>Питання 15</t>
  </si>
  <si>
    <t>Питання 16</t>
  </si>
  <si>
    <t>Питання 17</t>
  </si>
  <si>
    <t>Питання 18</t>
  </si>
  <si>
    <t>Питання 19</t>
  </si>
  <si>
    <t>В чому логіка DCF аналізу?</t>
  </si>
  <si>
    <t>Питання 20</t>
  </si>
  <si>
    <t>Що вам далося найлегше та найважче протягом модуля?</t>
  </si>
  <si>
    <t>Використовуючи умову питання 11, яка різниця (в місяцях) між проектами В та А (В-А)?</t>
  </si>
  <si>
    <t>Пам'ятаєте кейс з попереднього домашнього?))) Інвестори Сихівських столів мають очікуваний рівень дохідності 20%. Використовуючи Balance Sheet з кейсу за 2015 рік та вказані в умові проценти по боргових інструментах а також рівень податків, який юуде wacc цього бізнесу? (припускаємо що відсоток який платиться по кредиторській заборгованості =0. Спочатку потрібно порахувати середньозважений процент бо боргах)</t>
  </si>
  <si>
    <t>Вам дали проаналізувати компанію. Читаючи їхній balance sheet ви визнчили, що debt ratio становит 0.4. Додатково проаналізувавши beta інших компаній з індустрії, ви вирахували вартість equity цієї компанії, яка становить 8%. Також, з balance sheet ви визначили, що в компанії всі зобов'язання складаються тільки з одної облігації терміном на 5 років та купоном 5%. Яка середньозважена вартість капіталу компанії(wacc) ігноруючи податковий щит (tax shield)?</t>
  </si>
  <si>
    <t>Ви заробили 10,000 доларів та вирішили покласти їх на рахунок який платить простий відсоток. Ваш кум порадив покласти 4,000 доларів в JP Morgan під 8% річних на 5 років та 6,000 доларів в Citi під 7% річних на 6 років. Скільки в цілому доларів по відсотках ви отримаєте від цього вкладення.</t>
  </si>
  <si>
    <t>Порахуйте суму майбутніх вартостей 10,000 доларів (і+іі+ііі): і) через 5 років під складних 10% іі) через 7 років під складних 7% ііі) через 10 років під простих 8%</t>
  </si>
  <si>
    <t>Компанія Сихівські Столи має пенсійне зобов'язання перед майстрами у розмірі 100,000 грн, які повинні бути виплаченими через 25 років. Виходячи на ІРО, рада директорів найняла оцінити вартість акцій компанії. Для цього вам потрібно оцінити теперішню вартість цього зобовязання. Якою вона буде, знаючи що ставка дисконтування для цього бізнесу є 16.5%.</t>
  </si>
  <si>
    <t>У 2012 році Василь вернувся з заробітків в Чехії і купив квартиру на Сихові за 30,000 доларів. Рівно через три роки, в зв'язку з підвищеним попитом на нерухомість, він продав цю квартиру за 38,000 доларів. Яка річна дохідність цієї інвестиції?</t>
  </si>
  <si>
    <t>Використовуючи умову з питання 5, та знаючи, що інвестиція в проект становить $1,000, яким буде NPV проекту, якщо wacc становить 20%.</t>
  </si>
  <si>
    <t>Ви вирішили назбирати гроші на квартиру, щоб купити її через 5 років. Сьогодні в вас є 20,000 доларів. Кожного місяця ви докладатимете 100 доларів на цей рахунок, який нараховуватиме складні відсотки щомісячно. Річний процент, який платить банк становить 5%. Квартира коштуватиме 50,000 доларів. Скільки в вас залишиться/бракуватиме грошей для цієї покупки через 5 років (сума Х-50,000)?</t>
  </si>
  <si>
    <t>Вам на стіл поклали два інвестиційні проекти. Проект А вимагає інвестицій у розмірі 20000, проект В вимагає інвестицій у розмірі 30,000. Грошовий потік проекту А: рік 1 = 10,000, рік 2 = 12,000, рік 3= 15,000, рік 4 = 16,000. Грошовий потік проекту  В становить: рік 1 = 9,000, рік 2 = 12,000, рік 3 = 15,000, рік 4 = 17,000. Ставка дисконтування проектів А та В становить 10%. Використовуючи NPV, який проект ви оберете?</t>
  </si>
  <si>
    <t xml:space="preserve">У цьому році, EBITDA вашої компанії становила 15,000 доларів. Ви проаналізували конкурентні компанії на ринку і побачили що середній мультиплікатор EV/EBITDA для них становить х5.3. Яка EV вашої компанії? </t>
  </si>
  <si>
    <t>Вам запропонували інвестиційний проект, в який необхідно інвестувати 100,000 доларів. Проект генеруватиме 50,000 доларів доходу щороку. На діяльність проекту вам необхідно буде витрачати щороку 20,000 доларів. Амортизації та процентів в проекті не буде. В кінці 5-го року ви продасте проект за х2 EBITDA останнього року. Який IRR проекту?</t>
  </si>
  <si>
    <t>Ви вирішили щомісяця відкладати по 350 доларів на рахунок, починаючи з кінця цього місяця. Рахунок платить складний процент у розмірі 10% річних. Скільки місяців вам доведеться відкладати, поки ви назбираєте 35,000.</t>
  </si>
  <si>
    <t>Через 5 років ви вийдете на пенсію та отримуватимете 5,000 гривень в кінці кожного року, що ви на пенсії. Ваших пенсійних забезпечень вистарчить на 20 років таких платежів (тобто ваш пенсійний фонд становитиме 100,000 гривень). Яка сьогодні теперішня вартість ваших майбутніх пенсійних виплат, якщо ставка дисконтування становить 6%?</t>
  </si>
  <si>
    <t>Ви розглядаєте інветиційний проект, що генеруватиме наступний грошовий потік: Рік 1 =980, рік 2 = 1,040, рік 3 =1,500, рік 4 = 1,600, рік 5 = 1,680. Яка теперішня вартість грошових потоків цього проекту, якщо wacc цього проекту 10%.</t>
  </si>
  <si>
    <t>грн в місяць на харчування,</t>
  </si>
  <si>
    <t xml:space="preserve">грн в місяць на одяг та </t>
  </si>
  <si>
    <t>Перегорнувши чверть століття життя, він намагється зрозуміти, що ж йому далі робити в житті?! Знайома ситуація, еге ж…</t>
  </si>
  <si>
    <t>Петро закінчив економічний факультет три роки тому і відразу влаштувалася на роботу в офісі, яка йому платитиме з наступного року зарплату у розмірі</t>
  </si>
  <si>
    <t>грн. Не маючи власного житла, він змушений орендувати квартиру, віддаючи за неї</t>
  </si>
  <si>
    <t xml:space="preserve">грн в місяць за комуналку. Окрім того, він тратить в середньому </t>
  </si>
  <si>
    <t>Три роки тому Петро починав свою трудову діяльність з зарплати</t>
  </si>
  <si>
    <t>Петро дуже хоче вчитися. У нього є дві опції, поступити на магістерську програму в УКУ у Львові, або поїхати навчатися в KMBS у Києві.</t>
  </si>
  <si>
    <t>Програма в УКУ коштує</t>
  </si>
  <si>
    <t>грн в рік. Участь в позакласних активітетах обходитиметься</t>
  </si>
  <si>
    <t>грн в місяць. Всі інші витрати Петра протягом навчання становитимуть в середньому</t>
  </si>
  <si>
    <t>грн в місяць. Після закінчення навчання Петро очікує отримати нову роботу, зі стартовою зарплатою у розмірі</t>
  </si>
  <si>
    <t xml:space="preserve"> щороку. Премія на цій роботі очікується у розмірі</t>
  </si>
  <si>
    <t>грн в місяць орендної плати а також, в середньому,</t>
  </si>
  <si>
    <t>грн в рік. Проте, УКУ надає можливість проживання в гуртожитку, що коштує</t>
  </si>
  <si>
    <t>грн в місяць та очікуваним ростом у розмірі</t>
  </si>
  <si>
    <t>Навчання в Києві триватиме 3 роки та коштуватиме</t>
  </si>
  <si>
    <t>грн. Окрім плати за навчання, Петрові навчальні матеріали коштуватимуть</t>
  </si>
  <si>
    <t>грн в рік. KMBS не дає можливості продивати в гуртожитку, тому Петрові доведеться винаймати квартиру за</t>
  </si>
  <si>
    <t>грн в місяць протягом періоду навчання. Всі інші витрати Петра становитимуть</t>
  </si>
  <si>
    <t>річних. Наприклад, якщо Петро заощаджував 100 грн у 2016, то клав їх на рахунок в кінці 2016, а відсотки на ці 100 грн нараховувались у 2017. Сума та відсоток з попереднього року накопичуються.</t>
  </si>
  <si>
    <t>грн  та триває 2 роки. Оплата за навчанна проводиться на початку навчання. Окрім плати за навчання, Петрові навчальні матеріали коштуватимуть</t>
  </si>
  <si>
    <t>грн в місяць. Всі витрати (крім оплати за навчання відбуваються в кінці року). Після закінчення навчання Петро очікує отримати нову роботу, зі стартовою зарплатою у розмірі</t>
  </si>
  <si>
    <t>На вулиці темно, гості йдуть додому, а Петро збирається мити велику кількість посуди - він щойно відсвяткував свій 25-й день народження.</t>
  </si>
  <si>
    <t>Ріст зарплатні становив 1000 грн в рік. Якщо він залишиться на цій роботі, то подальший очікуваний ріст зарплатні становитиме</t>
  </si>
  <si>
    <t>За підсумками кожного року, всі гроші, які в нього залишалися, в кінці того ж року він відкладав на гривневий рахунок в банку, який платить йому простий відсоток у розмірі</t>
  </si>
  <si>
    <t>Окрім того, працюючи офіційно, Петро сплачує Податок на доходи фізичних осіб (ПДФО) та військовий збір, які в сумі становлять</t>
  </si>
  <si>
    <t>у випадку, якщо він залишиться на сьогоднішній роботі.</t>
  </si>
  <si>
    <t>Ставка кредитування банку становить</t>
  </si>
  <si>
    <t>Відсотки, які нараховуються банком протягом періоду навчання (поки немає доходу), накопичуються на баланс боргу.</t>
  </si>
  <si>
    <t>А</t>
  </si>
  <si>
    <t>В</t>
  </si>
  <si>
    <t>С</t>
  </si>
  <si>
    <t>D</t>
  </si>
  <si>
    <t>Допоможіть Петрові прийняти рішення</t>
  </si>
  <si>
    <t>2) Скільки грошей Петро заощадив станом на сьогодні?</t>
  </si>
  <si>
    <t>Е</t>
  </si>
  <si>
    <t>5) Порахуйте теперешню вартість прибутку від трудової діяльності та прибутку від рахунку в банку в результаті такого рішення?</t>
  </si>
  <si>
    <t>7) Порахуйте грошовий потік Петра якщо він вирішить вчитися у Львові?</t>
  </si>
  <si>
    <t>8) Порахуйте теперешню вартість прибутку від трудової діяльності та прибутку від рахунку в банку в результаті такого рішення?</t>
  </si>
  <si>
    <t>10) Порахуйте грошовий потік Петра якщо він вирішить вчитися в Києві?</t>
  </si>
  <si>
    <t>11) Порахуйте теперешню вартість прибутку від трудової діяльності та прибутку від рахунку в банку в результаті такого рішення?</t>
  </si>
  <si>
    <r>
      <t xml:space="preserve">та його витрати ,були ті ж що і зараз (та сама </t>
    </r>
    <r>
      <rPr>
        <u/>
        <sz val="11"/>
        <color theme="1"/>
        <rFont val="Calibri"/>
        <family val="2"/>
        <scheme val="minor"/>
      </rPr>
      <t>сума</t>
    </r>
    <r>
      <rPr>
        <sz val="11"/>
        <color theme="1"/>
        <rFont val="Calibri"/>
        <family val="2"/>
        <scheme val="minor"/>
      </rPr>
      <t xml:space="preserve"> кожного року).</t>
    </r>
  </si>
  <si>
    <t>за рік. Також, Петро отримував та в подальшому отримуватиме щорічну премію у розмірі</t>
  </si>
  <si>
    <t>від доходу (дохід = зарплата + премія).</t>
  </si>
  <si>
    <t>Рік</t>
  </si>
  <si>
    <t>Баланс початок року</t>
  </si>
  <si>
    <t>Заощаджено</t>
  </si>
  <si>
    <t>Баланс кінець року</t>
  </si>
  <si>
    <t>Нараховані % по депозиту</t>
  </si>
  <si>
    <r>
      <t xml:space="preserve">Те саме він робитиме і в подальшому. </t>
    </r>
    <r>
      <rPr>
        <i/>
        <sz val="11"/>
        <color theme="1"/>
        <rFont val="Calibri"/>
        <family val="2"/>
        <scheme val="minor"/>
      </rPr>
      <t>(Дивись додаток 1)</t>
    </r>
  </si>
  <si>
    <t>Додаток 1</t>
  </si>
  <si>
    <t>від укладу. Структура споживання/заощадження буде такою ж, як і зараз, податок такий же ж. Протягом навчання працювати йому заборонено.</t>
  </si>
  <si>
    <t>Варто зазаначити, що для проведення розрахунків, Петро використовує ставку дисконтування у розмірі</t>
  </si>
  <si>
    <t>у випадку, якщо він піде навчатися на одну з програм, та</t>
  </si>
  <si>
    <t>Це означає, що сума, яку Петро повинен взяти до початку навчання = сума оплати за навчання + сума, наобхіна для покриття всіх витрат протягом періоду навчання - сума яку він заощадив за попередні три роки роботи.</t>
  </si>
  <si>
    <r>
      <t xml:space="preserve">Коли в Петра появиться дохід, то він весь йтиме на покриття балансу боргу. Після виплати боргу, всі гроші Петро заощаджуватиме на той саамий накопичувальний рахунок, що і сьогодні. </t>
    </r>
    <r>
      <rPr>
        <i/>
        <sz val="11"/>
        <color theme="1"/>
        <rFont val="Calibri"/>
        <family val="2"/>
        <scheme val="minor"/>
      </rPr>
      <t>(Дивись додаток 2)</t>
    </r>
  </si>
  <si>
    <t>Додаток 2</t>
  </si>
  <si>
    <t>Сума необхідна для всього періоду навчання =</t>
  </si>
  <si>
    <t>Нараховані % по кредиту</t>
  </si>
  <si>
    <t>Кошти на погашення балансу</t>
  </si>
  <si>
    <t>Баланс на кінець року</t>
  </si>
  <si>
    <t>Прибуток коли ми почали працювати =</t>
  </si>
  <si>
    <t>1) Складіть історичний грошовий потік Петра до сьогодні?</t>
  </si>
  <si>
    <t>ВПИШІТЬ ЄДИНУ ПРАВИЛЬНУ ВІДПОДВІЬ В ЖОВТУ КЛІТИНКУ!!!!</t>
  </si>
  <si>
    <t>Робота в класі</t>
  </si>
  <si>
    <t>Питання</t>
  </si>
  <si>
    <t>Кейс</t>
  </si>
  <si>
    <t>У випадку, якщо логіка розв'язання є правильною, проте десь є помилка в обчисленнях, студент може отримати 0.75%.</t>
  </si>
  <si>
    <t>Деякі пояснення до того, як готувати домашнє завдання.</t>
  </si>
  <si>
    <t>ЗАВДАННЯ</t>
  </si>
  <si>
    <t>3) Яка, на Вашу думку, теперішня вартість заощаджених грошей?</t>
  </si>
  <si>
    <t>4) Порахуйте грошовий потік Петра, якщо він вирішить залишитися на тій же ж роботі?</t>
  </si>
  <si>
    <t>6) Порахуйте NPV такого рішення?</t>
  </si>
  <si>
    <t>9) Порахуйте NPV такого рішення?</t>
  </si>
  <si>
    <t>12) Порахуйте NPV такого рішення?</t>
  </si>
  <si>
    <t>13) Чому, на Вашу думку, ставки дисконтування різняться?</t>
  </si>
  <si>
    <t>14) Розуміючи терію вартості грошей в часі та критиреії прийняття інвестиційних рішень, чи пішли б Ви навчатися сьогодні?</t>
  </si>
  <si>
    <t>ВЧИТИСЬ ЧИ НЕ ВЧИТИСЬ?</t>
  </si>
  <si>
    <t>грн в місяць на всі інші витрати (транспорт, дозвілля і тд.). Така структура витрат зберігатиметься протягом всього періоду що він працюватиме (структура = витрата/зарплату).</t>
  </si>
  <si>
    <t xml:space="preserve">від річного посадового укладу. Цю премію він заощаджує і вона виплачується в кінці кожного року, що Петро працює. </t>
  </si>
  <si>
    <r>
      <t xml:space="preserve">Петро планує працювати ще 40 років та очікує, що, якщо він залишиться на цій роботі, то </t>
    </r>
    <r>
      <rPr>
        <u/>
        <sz val="11"/>
        <color theme="1"/>
        <rFont val="Calibri"/>
        <family val="2"/>
        <scheme val="minor"/>
      </rPr>
      <t>структура</t>
    </r>
    <r>
      <rPr>
        <sz val="11"/>
        <color theme="1"/>
        <rFont val="Calibri"/>
        <family val="2"/>
        <scheme val="minor"/>
      </rPr>
      <t xml:space="preserve"> його витрат протягом цього періоду буде тією ж, що і зараз.</t>
    </r>
  </si>
  <si>
    <t>Якщо Петро вирішить йти вчитися, то йому доведеться брати кредит на навчання. Банк погодився профінансувати це навчання, за умови, що кредит буде вибраний перед початком навчання.</t>
  </si>
  <si>
    <t>ВІДПОВІДІ</t>
  </si>
  <si>
    <t>Кейс Бонус</t>
  </si>
  <si>
    <t>Payback period =</t>
  </si>
  <si>
    <t>5.</t>
  </si>
  <si>
    <t>IRR =</t>
  </si>
  <si>
    <t>4.</t>
  </si>
  <si>
    <t>NPV =</t>
  </si>
  <si>
    <t>3.</t>
  </si>
  <si>
    <t>Акумульовані PV ГП проекту</t>
  </si>
  <si>
    <t>PV ГП проекту</t>
  </si>
  <si>
    <t>ГП проекту</t>
  </si>
  <si>
    <t>ГП від операцій</t>
  </si>
  <si>
    <t>Інвестиція</t>
  </si>
  <si>
    <t>Чистий прибуток</t>
  </si>
  <si>
    <t>Податок</t>
  </si>
  <si>
    <t>EBT</t>
  </si>
  <si>
    <t>Процент</t>
  </si>
  <si>
    <t>Амортизація</t>
  </si>
  <si>
    <t>EBITDA</t>
  </si>
  <si>
    <t>Операційні витрати</t>
  </si>
  <si>
    <t>Собівартість</t>
  </si>
  <si>
    <t>Дохід</t>
  </si>
  <si>
    <t xml:space="preserve">2. </t>
  </si>
  <si>
    <t>WACC =</t>
  </si>
  <si>
    <t>1.</t>
  </si>
  <si>
    <t>Відповіді та калькуляції показати нижче</t>
  </si>
  <si>
    <t>5. Порахувати дисконтований період окупності проекту</t>
  </si>
  <si>
    <t>4. Порахувати IRR проекту</t>
  </si>
  <si>
    <t>3. Порахувати NPV проекту</t>
  </si>
  <si>
    <t>2. Скласти грошовий потік для проекту</t>
  </si>
  <si>
    <t>1. Порахувати WACC компанії</t>
  </si>
  <si>
    <t>Завдання</t>
  </si>
  <si>
    <t>В кінці 5го року інвестори планують продати бізнес за дві EBITDA п'ятого року.</t>
  </si>
  <si>
    <t>Податкова ставка для таких бізнесів становить 40%.</t>
  </si>
  <si>
    <t>Очікувана дохідність інвесторів становить 20%.</t>
  </si>
  <si>
    <t>Гроші вкладені в товар повернуться в кінці 5го року.</t>
  </si>
  <si>
    <t>Решту суми, необхідної для інветсиції, вклали власники: 30000 грн для купівлі автомобіля (які невистачало з позики) та 50000 грн для закупки товару.</t>
  </si>
  <si>
    <t>Щоб купити автомобіль, компанія позичила 120000 грн під 8% річних (виплата щороку) та поверненням позики в кінці 5го року.</t>
  </si>
  <si>
    <t>В кінці 5го року вони планують продати її на брухт за 50000 грн.</t>
  </si>
  <si>
    <t>Для перевозки шкарпеток компанія купили Таврію за 150000 грн, яка амортизується прямолінійним методом протягом наступних 5 років.</t>
  </si>
  <si>
    <t>Інвестиція в бізнес становить 200000 грн.</t>
  </si>
  <si>
    <t>Компанія домовилась з опертором будок, що вони братимауть ці будки в довгострокову оренду з фіксованою ціною 7000 грн в місяць за будку протягом наступних 5 років.</t>
  </si>
  <si>
    <t>На перший рік, зарплата одного продавця становитиме, 3200 грн в рік, і надалі ростиме з інфляцією.</t>
  </si>
  <si>
    <t>Компанія матиме по 2 продавці в кожну будку. В перший рік планується 1 будка, в другий 2, в третій 3, в четвертий 4, в п'ятий також 4 будки.</t>
  </si>
  <si>
    <t>Інших валових витрат в компанії немає.</t>
  </si>
  <si>
    <t xml:space="preserve">Закупівельні та продажні ціни рухатимуться з інфляцією, яка прогнозується в середньому 10% протягом наступних 5 років. </t>
  </si>
  <si>
    <t>В перший рік шкарпетки купуватимуть по 10 грн а продаватимуть по 20 грн.</t>
  </si>
  <si>
    <t>Ріст продаж планується 50% в другий рік, 40% в третій рік, 30% в четвертий і 15% в п'ятий рік, відповідно.</t>
  </si>
  <si>
    <t xml:space="preserve">В перший рік компанія планує продажі на рівні 2000 пар шкарпеток в місяць. </t>
  </si>
  <si>
    <t>Два партнери вирішили відкрити будки на базарі та продавати шкарпетки.</t>
  </si>
  <si>
    <t>Умова задачі</t>
  </si>
  <si>
    <t>У випадку присутності на лекції, студент отримує 16% автоматично та 4% за активність у класі. Два дні = max 20%.</t>
  </si>
  <si>
    <r>
      <t xml:space="preserve">Одне питання = 1.5%. Питання вважатиметься зарахованим у випадку, якщо є правильна відповідь в </t>
    </r>
    <r>
      <rPr>
        <b/>
        <u/>
        <sz val="11"/>
        <color theme="1"/>
        <rFont val="Calibri"/>
        <family val="2"/>
        <scheme val="minor"/>
      </rPr>
      <t>жовтій</t>
    </r>
    <r>
      <rPr>
        <sz val="11"/>
        <color theme="1"/>
        <rFont val="Calibri"/>
        <family val="2"/>
        <scheme val="minor"/>
      </rPr>
      <t xml:space="preserve"> клітинці, поданий розв'язок в </t>
    </r>
    <r>
      <rPr>
        <b/>
        <u/>
        <sz val="11"/>
        <color theme="1"/>
        <rFont val="Calibri"/>
        <family val="2"/>
        <scheme val="minor"/>
      </rPr>
      <t>таблиці</t>
    </r>
    <r>
      <rPr>
        <sz val="11"/>
        <color theme="1"/>
        <rFont val="Calibri"/>
        <family val="2"/>
        <scheme val="minor"/>
      </rPr>
      <t xml:space="preserve"> під питанням та</t>
    </r>
  </si>
  <si>
    <t>правильна відповідь заокруглена до 2 значень після коми.</t>
  </si>
  <si>
    <t>Якщо ці три параметри не збігаються, то питання = 0!!!!!</t>
  </si>
  <si>
    <t>Відповіді на кейс теж повинні заноситися в жовті клітинки в закладці Case.</t>
  </si>
  <si>
    <t>Розв'язок потрібно подати нижче.</t>
  </si>
  <si>
    <t>Заокруглення - два значення піся коми</t>
  </si>
  <si>
    <t>Також, ви можете розв'язати бонусний кейс і покращити таким чином свою оцінку за цю домашню роботу.</t>
  </si>
  <si>
    <t>Відповідь на питання 19 та 20 впишіть у бокс під питанням.</t>
  </si>
  <si>
    <t>Успіхів!</t>
  </si>
  <si>
    <t>%</t>
  </si>
  <si>
    <t>Сума по відсотках</t>
  </si>
  <si>
    <t>час (років)</t>
  </si>
  <si>
    <t>Total:</t>
  </si>
  <si>
    <t>Тіло</t>
  </si>
  <si>
    <t xml:space="preserve">і) </t>
  </si>
  <si>
    <t>ii)</t>
  </si>
  <si>
    <t>iii)</t>
  </si>
  <si>
    <t>Використовую стандартну функцію PV</t>
  </si>
  <si>
    <t>PV= C1 / (1+r)^n</t>
  </si>
  <si>
    <t xml:space="preserve"> = </t>
  </si>
  <si>
    <t xml:space="preserve">C1 = </t>
  </si>
  <si>
    <t xml:space="preserve">r = </t>
  </si>
  <si>
    <t>n =</t>
  </si>
  <si>
    <t>Investment</t>
  </si>
  <si>
    <t>Загальна дохідність</t>
  </si>
  <si>
    <t>Ціна купівлі</t>
  </si>
  <si>
    <t>Ціна продажу</t>
  </si>
  <si>
    <t>Кількість років</t>
  </si>
  <si>
    <t>Річна дохідність</t>
  </si>
  <si>
    <t>CF</t>
  </si>
  <si>
    <t>PERIOD</t>
  </si>
  <si>
    <t>WACC</t>
  </si>
  <si>
    <t>PV</t>
  </si>
  <si>
    <t xml:space="preserve">Discount Rate = WACC = </t>
  </si>
  <si>
    <t>INVESTMENT</t>
  </si>
  <si>
    <t>Net CF</t>
  </si>
  <si>
    <t>NPV</t>
  </si>
  <si>
    <t xml:space="preserve">Auto: </t>
  </si>
  <si>
    <t>IRR</t>
  </si>
  <si>
    <t>Кількість періодів</t>
  </si>
  <si>
    <t>Стартовий внесок</t>
  </si>
  <si>
    <t>Щомісячний внесок</t>
  </si>
  <si>
    <t>Місячний процент банку</t>
  </si>
  <si>
    <t>Ціна квартири</t>
  </si>
  <si>
    <t>FV</t>
  </si>
  <si>
    <t xml:space="preserve"> (сума Х-50,000)</t>
  </si>
  <si>
    <t>Отримали від'ємне число, а отже грошей бракуватиме</t>
  </si>
  <si>
    <t>Сума отримана по облігації</t>
  </si>
  <si>
    <t>Нехай наш вклад -  х</t>
  </si>
  <si>
    <t>х + 0,05*10*х = 1,5х</t>
  </si>
  <si>
    <t xml:space="preserve">Сума отримана фінансовим інструментом </t>
  </si>
  <si>
    <t>х*(1+r)^10 = 1,5х  =&gt;  (1+r)^10 = 1,5   =&gt;    1+r = 1,5^(1/10)</t>
  </si>
  <si>
    <t xml:space="preserve"> r = 1,5^(1/10) - 1 = </t>
  </si>
  <si>
    <t>RATE</t>
  </si>
  <si>
    <t>W_e</t>
  </si>
  <si>
    <t>R_e</t>
  </si>
  <si>
    <t>R_d</t>
  </si>
  <si>
    <t>W_d</t>
  </si>
  <si>
    <t xml:space="preserve">WACC = Re × We + Rd × Wd  = </t>
  </si>
  <si>
    <t xml:space="preserve"> - Частка власного капіталу</t>
  </si>
  <si>
    <t xml:space="preserve"> - Ціна власного капіталу</t>
  </si>
  <si>
    <t xml:space="preserve"> - Ціна зобов'язань</t>
  </si>
  <si>
    <t xml:space="preserve"> - Частка зобов'язань</t>
  </si>
  <si>
    <t xml:space="preserve">Проект А: </t>
  </si>
  <si>
    <t xml:space="preserve">Проект B: </t>
  </si>
  <si>
    <t>Discount rate</t>
  </si>
  <si>
    <t>A</t>
  </si>
  <si>
    <t>B</t>
  </si>
  <si>
    <t>Answer:</t>
  </si>
  <si>
    <t>NPV project A:</t>
  </si>
  <si>
    <t>NPV project B:</t>
  </si>
  <si>
    <t xml:space="preserve">discounted CF A: </t>
  </si>
  <si>
    <t xml:space="preserve">discounted CF B: </t>
  </si>
  <si>
    <t>Повних два роки проект А і частина третьго:</t>
  </si>
  <si>
    <t>Повних три роки проект B і частину четвертого:</t>
  </si>
  <si>
    <t>Проект А, третій рік:</t>
  </si>
  <si>
    <t>Проект А, четвертий рік:</t>
  </si>
  <si>
    <t>B-A</t>
  </si>
  <si>
    <t>time A</t>
  </si>
  <si>
    <t>time B</t>
  </si>
  <si>
    <t>IRR_A</t>
  </si>
  <si>
    <t>IRR_B</t>
  </si>
  <si>
    <t>EV/EBITDA</t>
  </si>
  <si>
    <t>EV</t>
  </si>
  <si>
    <t>B-A:</t>
  </si>
  <si>
    <t>WACC = E/(E+D)*r_e + D/(D+E)*r_d*(1-t)</t>
  </si>
  <si>
    <t>E</t>
  </si>
  <si>
    <t>r_e</t>
  </si>
  <si>
    <t>r_d</t>
  </si>
  <si>
    <t>T_c</t>
  </si>
  <si>
    <t>Revenue</t>
  </si>
  <si>
    <t>COSTs</t>
  </si>
  <si>
    <t>Selling</t>
  </si>
  <si>
    <t>Free CF</t>
  </si>
  <si>
    <t>rate</t>
  </si>
  <si>
    <t>month</t>
  </si>
  <si>
    <t>desired FV</t>
  </si>
  <si>
    <t>Month</t>
  </si>
  <si>
    <t>&lt;- Somewhere here</t>
  </si>
  <si>
    <t>&lt;- Answer</t>
  </si>
  <si>
    <t>Waiting time</t>
  </si>
  <si>
    <t>Year of retirement</t>
  </si>
  <si>
    <t xml:space="preserve">За DCF аналізу ми прогнозуємо майбутні вільні грошові потоки, та дисконтуємо їх, 
</t>
  </si>
  <si>
    <t xml:space="preserve">таким чином можемо отримати їхню теперішню вартість, яку використовуємо для оцінки </t>
  </si>
  <si>
    <t xml:space="preserve">того наскільки інвестиція є потенційно хорошою. </t>
  </si>
  <si>
    <t>Відповідно якщо  вартість дисконтованих грошових потоків більша за інвестицію, такий проект є інвестиційно привабливим.</t>
  </si>
  <si>
    <t xml:space="preserve">У якості ставки дисконтування частіше всього використовують WACC </t>
  </si>
  <si>
    <t>Найлегше</t>
  </si>
  <si>
    <t xml:space="preserve"> - Вартість грошей в часі</t>
  </si>
  <si>
    <t>Найтяжче</t>
  </si>
  <si>
    <t xml:space="preserve"> - аналіз інвестиційних проектів.</t>
  </si>
  <si>
    <t>Продажі</t>
  </si>
  <si>
    <t>рік</t>
  </si>
  <si>
    <t>ціна продажу</t>
  </si>
  <si>
    <t>ціна купівлі</t>
  </si>
  <si>
    <t>Обрахунок собівартості та доходу</t>
  </si>
  <si>
    <t>кть будок</t>
  </si>
  <si>
    <t>зартлата</t>
  </si>
  <si>
    <t>ціна оренди</t>
  </si>
  <si>
    <t>OPEX</t>
  </si>
  <si>
    <t>Розрахунок амортизаційної вартості</t>
  </si>
  <si>
    <t>Первісна вартість</t>
  </si>
  <si>
    <t>Ліквідаційна</t>
  </si>
  <si>
    <t>Річна амортизація</t>
  </si>
  <si>
    <t>Розрахунок проценту</t>
  </si>
  <si>
    <t xml:space="preserve">Займ </t>
  </si>
  <si>
    <t>% річних</t>
  </si>
  <si>
    <t>процент</t>
  </si>
  <si>
    <t>Розрахунок WACC</t>
  </si>
  <si>
    <t>T</t>
  </si>
  <si>
    <t xml:space="preserve">WACC = Re × We + Rd × Wd × (1-Tax_rate)  = </t>
  </si>
  <si>
    <t>Власного капіталу E</t>
  </si>
  <si>
    <t>Займаного капіталу D</t>
  </si>
  <si>
    <t>Що повернеться в кінці 5го року</t>
  </si>
  <si>
    <t>Гроші вкладені в товар</t>
  </si>
  <si>
    <t>Машина на брухт</t>
  </si>
  <si>
    <t>2*EBITDA</t>
  </si>
  <si>
    <t>Позика</t>
  </si>
  <si>
    <t>Розрахунок ГП від операцій</t>
  </si>
  <si>
    <t>EBIT -TAXES+ DEPRECIATION&amp;AMORTIZATION-CAPEX + CHANGE IN NWC = FREE CASH FLOW TO THE FIRM</t>
  </si>
  <si>
    <t xml:space="preserve"> CHANGE IN NWC</t>
  </si>
  <si>
    <t>EBIT+DA</t>
  </si>
  <si>
    <t>Taxes</t>
  </si>
  <si>
    <t>Розрахунок Payback period</t>
  </si>
  <si>
    <t>Розрахунок CF від інвестиції</t>
  </si>
  <si>
    <t>Отримано кредиту</t>
  </si>
  <si>
    <t>Власних інвестицій</t>
  </si>
  <si>
    <t>PI</t>
  </si>
  <si>
    <t>інднкс прибутковості</t>
  </si>
  <si>
    <t>PI_A</t>
  </si>
  <si>
    <t>PI_B</t>
  </si>
  <si>
    <t>Liabilities:</t>
  </si>
  <si>
    <t>Структура витрати\зарплату</t>
  </si>
  <si>
    <t>Зарплата</t>
  </si>
  <si>
    <t>Оренда</t>
  </si>
  <si>
    <t>Комуналка</t>
  </si>
  <si>
    <t>Харчування</t>
  </si>
  <si>
    <t>Одяг</t>
  </si>
  <si>
    <t>Інше</t>
  </si>
  <si>
    <t>Заощадження</t>
  </si>
  <si>
    <t>Історичний грошовий потік до сьогодні</t>
  </si>
  <si>
    <t>Розв'язок:</t>
  </si>
  <si>
    <t>A.1)</t>
  </si>
  <si>
    <t>Премія</t>
  </si>
  <si>
    <t>Витрати</t>
  </si>
  <si>
    <t>ГП</t>
  </si>
  <si>
    <t>А.2)</t>
  </si>
  <si>
    <t>Скільки грошей Петро заощадив станом на сьогодні?</t>
  </si>
  <si>
    <t>А.3)</t>
  </si>
  <si>
    <t>Теперішня вартість заощаджених грошей?</t>
  </si>
  <si>
    <t>Дохід від відсотків</t>
  </si>
  <si>
    <t>Дохід від відсотків акум.</t>
  </si>
  <si>
    <t>Порахуйте грошовий потік Петра, якщо він вирішить залишитися на тій же ж роботі?</t>
  </si>
  <si>
    <t>Б.4)</t>
  </si>
  <si>
    <t>Витрати становлять</t>
  </si>
  <si>
    <t>від зарплати</t>
  </si>
  <si>
    <t>Рік роботи</t>
  </si>
  <si>
    <t>Ставка дисконтування</t>
  </si>
  <si>
    <t>Б.5)</t>
  </si>
  <si>
    <t>Б.6)</t>
  </si>
  <si>
    <t xml:space="preserve"> Порахуйте теперешню вартість прибутку від трудової діяльності та прибутку від рахунку в банку в результаті такого рішення?</t>
  </si>
  <si>
    <t>Порахуйте NPV такого рішення?</t>
  </si>
  <si>
    <t>PV від трудової діяльності</t>
  </si>
  <si>
    <t>PV від банку</t>
  </si>
  <si>
    <t>Історія за 3 попередніх роки</t>
  </si>
  <si>
    <t>Майбутнє ---&gt;</t>
  </si>
  <si>
    <t xml:space="preserve"> Порахуйте грошовий потік Петра якщо він вирішить вчитися у Львові?</t>
  </si>
  <si>
    <t>Розрахунок вартості навчання в УКУ</t>
  </si>
  <si>
    <t>Дохід від праці операцій</t>
  </si>
  <si>
    <t>Дохід від праці акум.</t>
  </si>
  <si>
    <t>Дохід від праці</t>
  </si>
  <si>
    <t>Оплата за навчання</t>
  </si>
  <si>
    <t>Навчальні матеріали</t>
  </si>
  <si>
    <t>Позакласні активності</t>
  </si>
  <si>
    <t>Проживання</t>
  </si>
  <si>
    <t>Інші витрати</t>
  </si>
  <si>
    <t>Разом потрібно</t>
  </si>
  <si>
    <t>Заощаджень</t>
  </si>
  <si>
    <t>Необхідно для кредитування</t>
  </si>
  <si>
    <t xml:space="preserve"> Порахуйте теперешню варті+B:Eсть прибутку від трудової діяльності та прибутку від рахунку в банку в результаті такого рішення?</t>
  </si>
  <si>
    <t xml:space="preserve"> -</t>
  </si>
  <si>
    <t>Навчання</t>
  </si>
  <si>
    <t>Банківський рахунок</t>
  </si>
  <si>
    <t>CF  від праці операцій</t>
  </si>
  <si>
    <t>Дохід відсотків і банківськи операцій</t>
  </si>
  <si>
    <t>PV від трудової діяльності total</t>
  </si>
  <si>
    <t>PV від банку total</t>
  </si>
  <si>
    <t>C.7)</t>
  </si>
  <si>
    <t>C.8)</t>
  </si>
  <si>
    <t>C.9)</t>
  </si>
  <si>
    <t xml:space="preserve"> Порахуйте грошовий потік Петра якщо він вирішить вчитися у Києві?</t>
  </si>
  <si>
    <t>Розрахунок вартості навчання в KMBS</t>
  </si>
  <si>
    <t>D.10)</t>
  </si>
  <si>
    <t>D.11)</t>
  </si>
  <si>
    <t>D.12)</t>
  </si>
  <si>
    <t>E.13)</t>
  </si>
  <si>
    <t>E.14)</t>
  </si>
  <si>
    <t xml:space="preserve"> Чому, на Вашу думку, ставки дисконтування різняться?</t>
  </si>
  <si>
    <t>Розуміючи терію вартості грошей в часі та критиреії прийняття інвестиційних рішень, чи пішли б Ви навчатися сьогодні?</t>
  </si>
  <si>
    <t xml:space="preserve">Ставка дисконтування при наявності освіти є меншою, адже меншими є відповідні ризики втратити(не знайти) роботи. У людини з освітою професійний шлях є потенційно стабільнішим, адже у неї є професійні знання, що роблять попит на неї та коло професійних знайомств, що потенційно краще ніж без освіти. </t>
  </si>
  <si>
    <t xml:space="preserve">Так. Ми можемо спостерігати, що NPV випадків, коли було прийняте рішення отримувати освіту є вищим за відповідник без освіти, тому з сторони прийняття інвестиційних рішень, варіант KMBS є найкращим, наступним є УКУ, але і без освіти впринципі не пропадемо. 
</t>
  </si>
  <si>
    <t xml:space="preserve"> - тут враховуємо, що попередні заощадження то є інвестиція</t>
  </si>
  <si>
    <t>Витрачено на CAPEX</t>
  </si>
  <si>
    <t>СF_0</t>
  </si>
  <si>
    <t xml:space="preserve">     =&gt;</t>
  </si>
  <si>
    <t>Повний рік і частина другого</t>
  </si>
  <si>
    <t>другий рік</t>
  </si>
  <si>
    <t>&lt;--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</si>
</sst>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0.00\ &quot;UAH&quot;;[Red]\-#,##0.00\ &quot;UAH&quot;"/>
    <numFmt numFmtId="164" formatCode="&quot;$&quot;#,##0_);[Red]\(&quot;$&quot;#,##0\)"/>
    <numFmt numFmtId="165" formatCode="&quot;$&quot;#,##0.00_);[Red]\(&quot;$&quot;#,##0.00\)"/>
    <numFmt numFmtId="166" formatCode="_(* #,##0.00_);_(* \(#,##0.00\);_(* &quot;-&quot;??_);_(@_)"/>
    <numFmt numFmtId="167" formatCode="_(* #,##0_);_(* \(#,##0\);_(* &quot;-&quot;??_);_(@_)"/>
    <numFmt numFmtId="168" formatCode="0.0%"/>
    <numFmt numFmtId="173" formatCode="0.0"/>
  </numFmts>
  <fonts count="15">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b/>
      <sz val="11"/>
      <color rgb="FFFF0000"/>
      <name val="Calibri"/>
      <family val="2"/>
      <charset val="204"/>
      <scheme val="minor"/>
    </font>
    <font>
      <b/>
      <sz val="11"/>
      <color rgb="FFFF0000"/>
      <name val="Calibri"/>
      <family val="2"/>
      <scheme val="minor"/>
    </font>
    <font>
      <sz val="11"/>
      <color theme="9" tint="0.59999389629810485"/>
      <name val="Calibri"/>
      <family val="2"/>
      <scheme val="minor"/>
    </font>
    <font>
      <sz val="11"/>
      <color theme="1"/>
      <name val="Calibri (Body)"/>
    </font>
    <font>
      <b/>
      <sz val="16"/>
      <color rgb="FFFF0000"/>
      <name val="Calibri"/>
      <family val="2"/>
      <scheme val="minor"/>
    </font>
    <font>
      <sz val="16"/>
      <color theme="1"/>
      <name val="Calibri"/>
      <family val="2"/>
      <scheme val="minor"/>
    </font>
    <font>
      <sz val="22"/>
      <color theme="1"/>
      <name val="Calibri"/>
      <family val="2"/>
      <scheme val="minor"/>
    </font>
    <font>
      <b/>
      <sz val="16"/>
      <color rgb="FFFF0000"/>
      <name val="Calibri (Body)"/>
    </font>
  </fonts>
  <fills count="8">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59999389629810485"/>
        <bgColor indexed="64"/>
      </patternFill>
    </fill>
  </fills>
  <borders count="33">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166" fontId="1" fillId="0" borderId="0" applyFont="0" applyFill="0" applyBorder="0" applyAlignment="0" applyProtection="0"/>
  </cellStyleXfs>
  <cellXfs count="207">
    <xf numFmtId="0" fontId="0" fillId="0" borderId="0" xfId="0"/>
    <xf numFmtId="0" fontId="4" fillId="0" borderId="1" xfId="0" applyFont="1" applyBorder="1"/>
    <xf numFmtId="0" fontId="0" fillId="0" borderId="2" xfId="0" applyBorder="1"/>
    <xf numFmtId="0" fontId="0" fillId="0" borderId="3" xfId="0" applyBorder="1"/>
    <xf numFmtId="0" fontId="3" fillId="0" borderId="4" xfId="0" applyFont="1" applyBorder="1"/>
    <xf numFmtId="0" fontId="0" fillId="0" borderId="0" xfId="0" applyBorder="1"/>
    <xf numFmtId="0" fontId="0" fillId="0" borderId="5" xfId="0" applyBorder="1"/>
    <xf numFmtId="0" fontId="2" fillId="0" borderId="6" xfId="0" applyFont="1" applyBorder="1"/>
    <xf numFmtId="0" fontId="2" fillId="0" borderId="7" xfId="0" applyFont="1" applyBorder="1"/>
    <xf numFmtId="0" fontId="2" fillId="0" borderId="8" xfId="0" applyFont="1" applyBorder="1"/>
    <xf numFmtId="0" fontId="2" fillId="0" borderId="4" xfId="0" applyFont="1" applyBorder="1"/>
    <xf numFmtId="0" fontId="2" fillId="0" borderId="0" xfId="0" applyFont="1" applyBorder="1"/>
    <xf numFmtId="0" fontId="2" fillId="0" borderId="5" xfId="0" applyFont="1" applyBorder="1"/>
    <xf numFmtId="0" fontId="2" fillId="0" borderId="9" xfId="0" applyFont="1" applyBorder="1"/>
    <xf numFmtId="0" fontId="2" fillId="0" borderId="10" xfId="0" applyFont="1" applyBorder="1"/>
    <xf numFmtId="0" fontId="2" fillId="0" borderId="11" xfId="0" applyFont="1" applyBorder="1"/>
    <xf numFmtId="165" fontId="2" fillId="0" borderId="0" xfId="0" applyNumberFormat="1" applyFont="1" applyBorder="1"/>
    <xf numFmtId="9" fontId="2" fillId="0" borderId="0" xfId="0" applyNumberFormat="1" applyFont="1" applyBorder="1"/>
    <xf numFmtId="10" fontId="2" fillId="0" borderId="0" xfId="0" applyNumberFormat="1" applyFont="1" applyBorder="1"/>
    <xf numFmtId="10" fontId="2" fillId="0" borderId="7" xfId="1" applyNumberFormat="1" applyFont="1" applyBorder="1"/>
    <xf numFmtId="9" fontId="2" fillId="0" borderId="7" xfId="0" applyNumberFormat="1" applyFont="1" applyBorder="1"/>
    <xf numFmtId="9" fontId="0" fillId="0" borderId="0" xfId="0" applyNumberFormat="1"/>
    <xf numFmtId="10" fontId="0" fillId="0" borderId="0" xfId="0" applyNumberFormat="1"/>
    <xf numFmtId="167" fontId="0" fillId="0" borderId="0" xfId="2" applyNumberFormat="1" applyFont="1"/>
    <xf numFmtId="167" fontId="0" fillId="0" borderId="0" xfId="0" applyNumberFormat="1"/>
    <xf numFmtId="168" fontId="0" fillId="0" borderId="0" xfId="0" applyNumberFormat="1"/>
    <xf numFmtId="165" fontId="0" fillId="0" borderId="0" xfId="0" applyNumberFormat="1"/>
    <xf numFmtId="0" fontId="3" fillId="0" borderId="0" xfId="0" applyFont="1"/>
    <xf numFmtId="164" fontId="0" fillId="0" borderId="0" xfId="0" applyNumberFormat="1"/>
    <xf numFmtId="0" fontId="0" fillId="0" borderId="0" xfId="0" applyNumberFormat="1"/>
    <xf numFmtId="0" fontId="3" fillId="0" borderId="0" xfId="0" applyNumberFormat="1" applyFont="1"/>
    <xf numFmtId="0" fontId="4" fillId="0" borderId="0" xfId="0" applyFont="1"/>
    <xf numFmtId="0" fontId="0" fillId="0" borderId="0" xfId="0" applyFont="1"/>
    <xf numFmtId="0" fontId="2" fillId="2" borderId="0" xfId="0" applyFont="1" applyFill="1"/>
    <xf numFmtId="0" fontId="0" fillId="2" borderId="0" xfId="0" applyFill="1"/>
    <xf numFmtId="0" fontId="0" fillId="0" borderId="12" xfId="0" applyBorder="1"/>
    <xf numFmtId="0" fontId="0" fillId="0" borderId="13" xfId="0" applyBorder="1"/>
    <xf numFmtId="9" fontId="0" fillId="0" borderId="14" xfId="0" applyNumberFormat="1" applyBorder="1"/>
    <xf numFmtId="0" fontId="0" fillId="0" borderId="4" xfId="0" applyBorder="1"/>
    <xf numFmtId="9" fontId="0" fillId="0" borderId="5" xfId="0" applyNumberFormat="1" applyBorder="1"/>
    <xf numFmtId="0" fontId="0" fillId="0" borderId="9" xfId="0" applyBorder="1"/>
    <xf numFmtId="0" fontId="0" fillId="0" borderId="10" xfId="0" applyBorder="1"/>
    <xf numFmtId="9" fontId="0" fillId="0" borderId="11" xfId="0" applyNumberFormat="1" applyBorder="1"/>
    <xf numFmtId="0" fontId="0" fillId="0" borderId="15" xfId="0" applyBorder="1"/>
    <xf numFmtId="0" fontId="7" fillId="0" borderId="0" xfId="0" applyFont="1"/>
    <xf numFmtId="0" fontId="0" fillId="0" borderId="16" xfId="0" applyFill="1" applyBorder="1"/>
    <xf numFmtId="0" fontId="0" fillId="0" borderId="17" xfId="0" applyBorder="1"/>
    <xf numFmtId="9" fontId="0" fillId="0" borderId="18" xfId="0" applyNumberFormat="1" applyBorder="1"/>
    <xf numFmtId="0" fontId="0" fillId="0" borderId="0" xfId="0" quotePrefix="1"/>
    <xf numFmtId="0" fontId="6" fillId="0" borderId="0" xfId="0" applyFont="1"/>
    <xf numFmtId="2" fontId="0" fillId="2" borderId="15" xfId="0" applyNumberFormat="1" applyFill="1" applyBorder="1"/>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4" xfId="0" applyFont="1" applyBorder="1" applyAlignment="1">
      <alignment horizontal="center" vertical="center"/>
    </xf>
    <xf numFmtId="9" fontId="2" fillId="0" borderId="0" xfId="0" applyNumberFormat="1"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left" vertical="center"/>
    </xf>
    <xf numFmtId="0" fontId="2" fillId="0" borderId="0" xfId="0" applyFont="1" applyBorder="1" applyAlignment="1">
      <alignment horizontal="left" vertical="center"/>
    </xf>
    <xf numFmtId="0" fontId="8" fillId="0" borderId="0" xfId="0" applyFont="1" applyBorder="1" applyAlignment="1">
      <alignment horizontal="left" vertical="center"/>
    </xf>
    <xf numFmtId="2" fontId="2" fillId="0" borderId="7" xfId="0" applyNumberFormat="1" applyFont="1" applyBorder="1"/>
    <xf numFmtId="2" fontId="2" fillId="0" borderId="0" xfId="0" applyNumberFormat="1" applyFont="1" applyBorder="1"/>
    <xf numFmtId="2" fontId="8" fillId="0" borderId="0" xfId="0" applyNumberFormat="1" applyFont="1" applyBorder="1"/>
    <xf numFmtId="8" fontId="2" fillId="0" borderId="4" xfId="0" applyNumberFormat="1" applyFont="1" applyBorder="1"/>
    <xf numFmtId="8" fontId="2" fillId="0" borderId="0" xfId="0" applyNumberFormat="1" applyFont="1" applyBorder="1"/>
    <xf numFmtId="10" fontId="2" fillId="0" borderId="7" xfId="0" applyNumberFormat="1" applyFont="1" applyBorder="1"/>
    <xf numFmtId="10" fontId="2" fillId="0" borderId="0" xfId="1" applyNumberFormat="1" applyFont="1" applyBorder="1"/>
    <xf numFmtId="10" fontId="0" fillId="2" borderId="15" xfId="1" applyNumberFormat="1" applyFont="1" applyFill="1" applyBorder="1"/>
    <xf numFmtId="9" fontId="2" fillId="0" borderId="10" xfId="0" applyNumberFormat="1" applyFont="1" applyBorder="1"/>
    <xf numFmtId="0" fontId="2" fillId="0" borderId="21" xfId="0" applyFont="1" applyBorder="1"/>
    <xf numFmtId="0" fontId="2" fillId="0" borderId="22" xfId="0" applyFont="1" applyBorder="1"/>
    <xf numFmtId="0" fontId="2" fillId="0" borderId="15" xfId="0" applyFont="1" applyBorder="1"/>
    <xf numFmtId="0" fontId="2" fillId="0" borderId="15" xfId="0" applyNumberFormat="1" applyFont="1" applyBorder="1"/>
    <xf numFmtId="2" fontId="2" fillId="0" borderId="15" xfId="0" applyNumberFormat="1" applyFont="1" applyBorder="1"/>
    <xf numFmtId="165" fontId="2" fillId="0" borderId="15" xfId="0" applyNumberFormat="1" applyFont="1" applyBorder="1"/>
    <xf numFmtId="8" fontId="2" fillId="0" borderId="15" xfId="0" applyNumberFormat="1" applyFont="1" applyBorder="1"/>
    <xf numFmtId="0" fontId="2" fillId="0" borderId="24" xfId="0" applyFont="1" applyBorder="1"/>
    <xf numFmtId="0" fontId="2" fillId="0" borderId="25" xfId="0" applyFont="1" applyBorder="1"/>
    <xf numFmtId="0" fontId="0" fillId="0" borderId="25" xfId="0" applyBorder="1"/>
    <xf numFmtId="0" fontId="2" fillId="0" borderId="0" xfId="0" applyNumberFormat="1" applyFont="1" applyBorder="1"/>
    <xf numFmtId="9" fontId="2" fillId="0" borderId="4" xfId="0" applyNumberFormat="1" applyFont="1" applyBorder="1"/>
    <xf numFmtId="0" fontId="2" fillId="0" borderId="7" xfId="1" applyNumberFormat="1" applyFont="1" applyBorder="1"/>
    <xf numFmtId="10" fontId="0" fillId="0" borderId="0" xfId="1" applyNumberFormat="1" applyFont="1" applyBorder="1"/>
    <xf numFmtId="10" fontId="2" fillId="0" borderId="10" xfId="1" applyNumberFormat="1" applyFont="1" applyBorder="1"/>
    <xf numFmtId="2" fontId="2" fillId="0" borderId="10" xfId="0" applyNumberFormat="1" applyFont="1" applyBorder="1"/>
    <xf numFmtId="0" fontId="2" fillId="0" borderId="19" xfId="0" applyFont="1" applyBorder="1"/>
    <xf numFmtId="0" fontId="8" fillId="0" borderId="10" xfId="0" applyFont="1" applyBorder="1" applyAlignment="1">
      <alignment horizontal="right"/>
    </xf>
    <xf numFmtId="0" fontId="8" fillId="0" borderId="19" xfId="0" applyFont="1" applyBorder="1"/>
    <xf numFmtId="0" fontId="2" fillId="0" borderId="26" xfId="0" applyFont="1" applyBorder="1"/>
    <xf numFmtId="9" fontId="2" fillId="0" borderId="20" xfId="0" applyNumberFormat="1" applyFont="1" applyBorder="1"/>
    <xf numFmtId="8" fontId="2" fillId="0" borderId="19" xfId="0" applyNumberFormat="1" applyFont="1" applyBorder="1"/>
    <xf numFmtId="0" fontId="2" fillId="0" borderId="27" xfId="0" applyFont="1" applyBorder="1"/>
    <xf numFmtId="0" fontId="2" fillId="0" borderId="23" xfId="0" applyFont="1" applyBorder="1"/>
    <xf numFmtId="8" fontId="2" fillId="0" borderId="21" xfId="0" applyNumberFormat="1" applyFont="1" applyBorder="1"/>
    <xf numFmtId="8" fontId="2" fillId="0" borderId="23" xfId="0" applyNumberFormat="1" applyFont="1" applyBorder="1"/>
    <xf numFmtId="0" fontId="0" fillId="0" borderId="19" xfId="0" applyBorder="1"/>
    <xf numFmtId="2" fontId="2" fillId="0" borderId="0" xfId="1" applyNumberFormat="1" applyFont="1" applyBorder="1"/>
    <xf numFmtId="0" fontId="2" fillId="0" borderId="0" xfId="0" applyFont="1" applyFill="1" applyBorder="1"/>
    <xf numFmtId="1" fontId="2" fillId="0" borderId="0" xfId="1" applyNumberFormat="1" applyFont="1" applyBorder="1"/>
    <xf numFmtId="1" fontId="2" fillId="0" borderId="0" xfId="0" applyNumberFormat="1" applyFont="1" applyBorder="1"/>
    <xf numFmtId="1" fontId="2" fillId="0" borderId="19" xfId="0" applyNumberFormat="1" applyFont="1" applyBorder="1"/>
    <xf numFmtId="0" fontId="2" fillId="0" borderId="4" xfId="0" applyFont="1" applyFill="1" applyBorder="1"/>
    <xf numFmtId="0" fontId="8" fillId="0" borderId="0" xfId="0" applyFont="1" applyBorder="1"/>
    <xf numFmtId="2" fontId="0" fillId="0" borderId="0" xfId="0" applyNumberFormat="1"/>
    <xf numFmtId="165" fontId="2" fillId="0" borderId="0" xfId="0" applyNumberFormat="1" applyFont="1" applyBorder="1" applyAlignment="1">
      <alignment horizontal="right"/>
    </xf>
    <xf numFmtId="10" fontId="0" fillId="2" borderId="15" xfId="0" applyNumberFormat="1" applyFill="1" applyBorder="1"/>
    <xf numFmtId="10" fontId="2" fillId="0" borderId="10" xfId="0" applyNumberFormat="1" applyFont="1" applyBorder="1"/>
    <xf numFmtId="0" fontId="2" fillId="0" borderId="4" xfId="0"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vertical="center"/>
    </xf>
    <xf numFmtId="2" fontId="2" fillId="0" borderId="9" xfId="0" applyNumberFormat="1" applyFont="1" applyBorder="1"/>
    <xf numFmtId="0" fontId="2" fillId="0" borderId="4" xfId="0" applyFont="1" applyBorder="1" applyAlignment="1"/>
    <xf numFmtId="0" fontId="8" fillId="0" borderId="4" xfId="0" applyFont="1" applyBorder="1"/>
    <xf numFmtId="0" fontId="0" fillId="3" borderId="0" xfId="0" applyFill="1"/>
    <xf numFmtId="10" fontId="0" fillId="2" borderId="0" xfId="1" applyNumberFormat="1" applyFont="1" applyFill="1"/>
    <xf numFmtId="2" fontId="0" fillId="2" borderId="0" xfId="0" applyNumberFormat="1" applyFill="1"/>
    <xf numFmtId="0" fontId="9" fillId="0" borderId="0" xfId="0" applyFont="1"/>
    <xf numFmtId="0" fontId="10" fillId="0" borderId="0" xfId="0" applyFont="1"/>
    <xf numFmtId="10" fontId="0" fillId="2" borderId="0" xfId="0" applyNumberFormat="1" applyFill="1"/>
    <xf numFmtId="2" fontId="0" fillId="0" borderId="0" xfId="0" applyNumberFormat="1" applyFill="1"/>
    <xf numFmtId="0" fontId="2" fillId="0" borderId="0" xfId="0" applyFont="1" applyBorder="1" applyAlignment="1">
      <alignment horizontal="right"/>
    </xf>
    <xf numFmtId="2" fontId="2" fillId="0" borderId="0" xfId="0" applyNumberFormat="1" applyFont="1"/>
    <xf numFmtId="165" fontId="2" fillId="0" borderId="25" xfId="0" applyNumberFormat="1" applyFont="1" applyBorder="1"/>
    <xf numFmtId="0" fontId="2" fillId="0" borderId="28" xfId="0" applyFont="1" applyBorder="1"/>
    <xf numFmtId="165" fontId="2" fillId="0" borderId="7" xfId="0" applyNumberFormat="1" applyFont="1" applyBorder="1"/>
    <xf numFmtId="165" fontId="2" fillId="0" borderId="24" xfId="0" applyNumberFormat="1" applyFont="1" applyBorder="1"/>
    <xf numFmtId="9" fontId="2" fillId="0" borderId="0" xfId="1" applyFont="1" applyBorder="1"/>
    <xf numFmtId="2" fontId="2" fillId="0" borderId="7" xfId="1" applyNumberFormat="1" applyFont="1" applyBorder="1"/>
    <xf numFmtId="9" fontId="2" fillId="0" borderId="15" xfId="0" applyNumberFormat="1" applyFont="1" applyBorder="1"/>
    <xf numFmtId="0" fontId="2" fillId="0" borderId="29" xfId="0" applyFont="1" applyBorder="1"/>
    <xf numFmtId="0" fontId="0" fillId="0" borderId="29" xfId="0" applyBorder="1"/>
    <xf numFmtId="10" fontId="8" fillId="0" borderId="29" xfId="0" applyNumberFormat="1" applyFont="1" applyBorder="1"/>
    <xf numFmtId="0" fontId="0" fillId="0" borderId="4" xfId="0" applyBorder="1" applyAlignment="1">
      <alignment horizontal="left" vertical="center" wrapText="1"/>
    </xf>
    <xf numFmtId="0" fontId="0" fillId="0" borderId="0"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4" borderId="0" xfId="0" applyFill="1"/>
    <xf numFmtId="0" fontId="11" fillId="3" borderId="0" xfId="0" applyFont="1" applyFill="1"/>
    <xf numFmtId="0" fontId="13" fillId="4" borderId="0" xfId="0" applyFont="1" applyFill="1"/>
    <xf numFmtId="2" fontId="0" fillId="0" borderId="15" xfId="0" applyNumberFormat="1" applyBorder="1"/>
    <xf numFmtId="2" fontId="0" fillId="0" borderId="15" xfId="0" applyNumberFormat="1" applyFill="1" applyBorder="1"/>
    <xf numFmtId="2" fontId="3" fillId="3" borderId="0" xfId="0" applyNumberFormat="1" applyFont="1" applyFill="1"/>
    <xf numFmtId="0" fontId="11" fillId="0" borderId="0" xfId="0" applyFont="1" applyFill="1"/>
    <xf numFmtId="167" fontId="11" fillId="0" borderId="0" xfId="2" applyNumberFormat="1" applyFont="1" applyFill="1"/>
    <xf numFmtId="167" fontId="11" fillId="0" borderId="0" xfId="0" applyNumberFormat="1" applyFont="1" applyFill="1"/>
    <xf numFmtId="165" fontId="11" fillId="0" borderId="0" xfId="0" applyNumberFormat="1" applyFont="1" applyFill="1"/>
    <xf numFmtId="0" fontId="0" fillId="5" borderId="15" xfId="0" applyNumberFormat="1" applyFill="1" applyBorder="1"/>
    <xf numFmtId="2" fontId="3" fillId="6" borderId="15" xfId="0" applyNumberFormat="1" applyFont="1" applyFill="1" applyBorder="1"/>
    <xf numFmtId="0" fontId="3" fillId="6" borderId="15" xfId="0" applyFont="1" applyFill="1" applyBorder="1"/>
    <xf numFmtId="0" fontId="14" fillId="3" borderId="0" xfId="0" applyFont="1" applyFill="1"/>
    <xf numFmtId="0" fontId="12" fillId="3" borderId="0" xfId="0" applyFont="1" applyFill="1"/>
    <xf numFmtId="0" fontId="0" fillId="0" borderId="0" xfId="0" applyFill="1"/>
    <xf numFmtId="0" fontId="0" fillId="7" borderId="0" xfId="0" applyFill="1"/>
    <xf numFmtId="9" fontId="0" fillId="0" borderId="15" xfId="0" applyNumberFormat="1" applyBorder="1"/>
    <xf numFmtId="9" fontId="0" fillId="0" borderId="15" xfId="1" applyFont="1" applyBorder="1"/>
    <xf numFmtId="0" fontId="0" fillId="6" borderId="0" xfId="0" applyFill="1"/>
    <xf numFmtId="2" fontId="3" fillId="6" borderId="0" xfId="0" applyNumberFormat="1" applyFont="1" applyFill="1" applyBorder="1"/>
    <xf numFmtId="173" fontId="3" fillId="6" borderId="0" xfId="0" applyNumberFormat="1" applyFont="1" applyFill="1" applyBorder="1"/>
    <xf numFmtId="0" fontId="3" fillId="7" borderId="0" xfId="0" applyFont="1" applyFill="1" applyBorder="1"/>
    <xf numFmtId="0" fontId="0" fillId="7" borderId="0" xfId="0" applyFill="1" applyBorder="1"/>
    <xf numFmtId="173" fontId="0" fillId="0" borderId="0" xfId="0" applyNumberFormat="1" applyBorder="1"/>
    <xf numFmtId="173" fontId="0" fillId="0" borderId="0" xfId="0" applyNumberFormat="1" applyFill="1" applyBorder="1"/>
    <xf numFmtId="173" fontId="0" fillId="0" borderId="31" xfId="0" applyNumberFormat="1" applyBorder="1"/>
    <xf numFmtId="173" fontId="0" fillId="0" borderId="30" xfId="0" applyNumberFormat="1" applyBorder="1"/>
    <xf numFmtId="173" fontId="3" fillId="6" borderId="30" xfId="0" applyNumberFormat="1" applyFont="1" applyFill="1" applyBorder="1"/>
    <xf numFmtId="0" fontId="3" fillId="3" borderId="0" xfId="0" applyFont="1" applyFill="1" applyBorder="1"/>
    <xf numFmtId="0" fontId="12" fillId="3" borderId="0" xfId="0" applyFont="1" applyFill="1" applyBorder="1"/>
    <xf numFmtId="9" fontId="0" fillId="0" borderId="0" xfId="0" applyNumberFormat="1" applyFill="1"/>
    <xf numFmtId="0" fontId="0" fillId="0" borderId="0" xfId="0" applyFill="1" applyBorder="1"/>
    <xf numFmtId="9" fontId="0" fillId="3" borderId="0" xfId="0" applyNumberFormat="1" applyFill="1"/>
    <xf numFmtId="0" fontId="0" fillId="0" borderId="0" xfId="0" applyAlignment="1">
      <alignment horizontal="center"/>
    </xf>
    <xf numFmtId="0" fontId="0" fillId="0" borderId="25" xfId="0" applyFill="1" applyBorder="1"/>
    <xf numFmtId="0" fontId="0" fillId="7" borderId="25" xfId="0" applyFill="1" applyBorder="1"/>
    <xf numFmtId="173" fontId="0" fillId="6" borderId="30" xfId="0" applyNumberFormat="1" applyFill="1" applyBorder="1"/>
    <xf numFmtId="173" fontId="0" fillId="6" borderId="0" xfId="0" applyNumberFormat="1" applyFill="1"/>
    <xf numFmtId="173" fontId="0" fillId="6" borderId="32" xfId="0" applyNumberFormat="1" applyFill="1" applyBorder="1"/>
    <xf numFmtId="0" fontId="0" fillId="6" borderId="15" xfId="0" applyFill="1" applyBorder="1"/>
    <xf numFmtId="2" fontId="0" fillId="6" borderId="15" xfId="0" applyNumberFormat="1" applyFill="1" applyBorder="1"/>
    <xf numFmtId="9" fontId="0" fillId="0" borderId="0" xfId="0" applyNumberFormat="1" applyFill="1" applyBorder="1"/>
    <xf numFmtId="9" fontId="0" fillId="0" borderId="15" xfId="0" applyNumberFormat="1" applyFill="1" applyBorder="1"/>
    <xf numFmtId="9" fontId="0" fillId="6" borderId="15" xfId="0" applyNumberFormat="1" applyFill="1" applyBorder="1"/>
    <xf numFmtId="9" fontId="3" fillId="6" borderId="15" xfId="0" applyNumberFormat="1" applyFont="1" applyFill="1" applyBorder="1"/>
    <xf numFmtId="0" fontId="0" fillId="6" borderId="25" xfId="0" applyFill="1" applyBorder="1"/>
    <xf numFmtId="0" fontId="0" fillId="0" borderId="22" xfId="0" applyFill="1" applyBorder="1"/>
    <xf numFmtId="0" fontId="0" fillId="6" borderId="0" xfId="0" applyFill="1" applyBorder="1"/>
    <xf numFmtId="0" fontId="0" fillId="0" borderId="22" xfId="0" applyBorder="1"/>
    <xf numFmtId="0" fontId="0" fillId="6" borderId="22" xfId="0" applyFill="1" applyBorder="1"/>
    <xf numFmtId="2" fontId="0" fillId="6" borderId="25" xfId="0" applyNumberFormat="1" applyFill="1" applyBorder="1"/>
    <xf numFmtId="2" fontId="0" fillId="6" borderId="0" xfId="0" applyNumberFormat="1" applyFill="1"/>
    <xf numFmtId="2" fontId="0" fillId="0" borderId="0" xfId="0" applyNumberFormat="1" applyBorder="1"/>
    <xf numFmtId="2" fontId="12" fillId="3" borderId="0" xfId="0" applyNumberFormat="1" applyFont="1" applyFill="1"/>
    <xf numFmtId="2" fontId="0" fillId="0" borderId="25" xfId="0" applyNumberFormat="1" applyBorder="1"/>
    <xf numFmtId="2" fontId="0" fillId="0" borderId="22" xfId="0" applyNumberFormat="1" applyBorder="1"/>
    <xf numFmtId="2" fontId="0" fillId="6" borderId="0" xfId="0" applyNumberFormat="1" applyFill="1" applyBorder="1"/>
    <xf numFmtId="2" fontId="0" fillId="6" borderId="22" xfId="0" applyNumberFormat="1" applyFill="1" applyBorder="1"/>
    <xf numFmtId="173" fontId="0" fillId="6" borderId="25" xfId="0" applyNumberFormat="1" applyFill="1" applyBorder="1"/>
    <xf numFmtId="173" fontId="0" fillId="6" borderId="0" xfId="0" applyNumberFormat="1" applyFill="1" applyBorder="1"/>
    <xf numFmtId="173" fontId="0" fillId="0" borderId="22" xfId="0" applyNumberFormat="1" applyBorder="1"/>
    <xf numFmtId="173" fontId="3" fillId="6" borderId="22" xfId="0" applyNumberFormat="1" applyFont="1" applyFill="1" applyBorder="1"/>
    <xf numFmtId="173" fontId="0" fillId="6" borderId="22" xfId="0" applyNumberFormat="1" applyFill="1" applyBorder="1"/>
    <xf numFmtId="173" fontId="0" fillId="0" borderId="25" xfId="0" applyNumberFormat="1" applyBorder="1"/>
    <xf numFmtId="173" fontId="3" fillId="6" borderId="25" xfId="0" applyNumberFormat="1" applyFont="1" applyFill="1" applyBorder="1"/>
    <xf numFmtId="0" fontId="0" fillId="7" borderId="22" xfId="0" applyFill="1" applyBorder="1"/>
    <xf numFmtId="0" fontId="0" fillId="0" borderId="0" xfId="0" applyAlignment="1">
      <alignment horizontal="left" vertical="top" wrapText="1"/>
    </xf>
  </cellXfs>
  <cellStyles count="3">
    <cellStyle name="Comma" xfId="2" builtinId="3"/>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D22"/>
  <sheetViews>
    <sheetView showGridLines="0" workbookViewId="0">
      <selection activeCell="C22" sqref="C22"/>
    </sheetView>
  </sheetViews>
  <sheetFormatPr baseColWidth="10" defaultColWidth="8.83203125" defaultRowHeight="15"/>
  <sheetData>
    <row r="2" spans="2:4" ht="16" thickBot="1"/>
    <row r="3" spans="2:4">
      <c r="B3" s="35" t="s">
        <v>106</v>
      </c>
      <c r="C3" s="36"/>
      <c r="D3" s="37">
        <v>0.2</v>
      </c>
    </row>
    <row r="4" spans="2:4">
      <c r="B4" s="38" t="s">
        <v>107</v>
      </c>
      <c r="C4" s="5"/>
      <c r="D4" s="39">
        <v>0.4</v>
      </c>
    </row>
    <row r="5" spans="2:4" ht="16" thickBot="1">
      <c r="B5" s="40" t="s">
        <v>108</v>
      </c>
      <c r="C5" s="41"/>
      <c r="D5" s="42">
        <v>0.4</v>
      </c>
    </row>
    <row r="6" spans="2:4" ht="16" thickBot="1">
      <c r="B6" s="45" t="s">
        <v>125</v>
      </c>
      <c r="C6" s="46"/>
      <c r="D6" s="47">
        <v>0.2</v>
      </c>
    </row>
    <row r="8" spans="2:4">
      <c r="B8" t="s">
        <v>110</v>
      </c>
    </row>
    <row r="9" spans="2:4">
      <c r="B9" s="27" t="s">
        <v>106</v>
      </c>
    </row>
    <row r="10" spans="2:4">
      <c r="C10" t="s">
        <v>175</v>
      </c>
    </row>
    <row r="11" spans="2:4">
      <c r="B11" s="27" t="s">
        <v>107</v>
      </c>
    </row>
    <row r="12" spans="2:4">
      <c r="C12" t="s">
        <v>176</v>
      </c>
    </row>
    <row r="13" spans="2:4">
      <c r="C13" t="s">
        <v>177</v>
      </c>
    </row>
    <row r="14" spans="2:4">
      <c r="C14" t="s">
        <v>178</v>
      </c>
    </row>
    <row r="15" spans="2:4">
      <c r="C15" t="s">
        <v>183</v>
      </c>
    </row>
    <row r="16" spans="2:4">
      <c r="C16" t="s">
        <v>109</v>
      </c>
    </row>
    <row r="17" spans="2:3">
      <c r="B17" s="27" t="s">
        <v>108</v>
      </c>
    </row>
    <row r="18" spans="2:3">
      <c r="C18" t="s">
        <v>179</v>
      </c>
    </row>
    <row r="19" spans="2:3">
      <c r="C19" t="s">
        <v>180</v>
      </c>
    </row>
    <row r="20" spans="2:3">
      <c r="C20" t="s">
        <v>181</v>
      </c>
    </row>
    <row r="21" spans="2:3">
      <c r="C21" t="s">
        <v>182</v>
      </c>
    </row>
    <row r="22" spans="2:3">
      <c r="C22" t="s">
        <v>184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2:V226"/>
  <sheetViews>
    <sheetView showGridLines="0" topLeftCell="A204" workbookViewId="0">
      <selection activeCell="E207" sqref="E207"/>
    </sheetView>
  </sheetViews>
  <sheetFormatPr baseColWidth="10" defaultColWidth="8.83203125" defaultRowHeight="15"/>
  <cols>
    <col min="2" max="2" width="14" customWidth="1"/>
    <col min="3" max="3" width="14.6640625" bestFit="1" customWidth="1"/>
    <col min="4" max="5" width="12.1640625" bestFit="1" customWidth="1"/>
    <col min="6" max="6" width="12.6640625" bestFit="1" customWidth="1"/>
    <col min="7" max="7" width="13.1640625" bestFit="1" customWidth="1"/>
    <col min="8" max="8" width="12.6640625" bestFit="1" customWidth="1"/>
    <col min="15" max="16" width="9.1640625" bestFit="1" customWidth="1"/>
  </cols>
  <sheetData>
    <row r="2" spans="2:16">
      <c r="B2" s="33" t="s">
        <v>105</v>
      </c>
      <c r="C2" s="34"/>
      <c r="D2" s="34"/>
      <c r="E2" s="34"/>
      <c r="F2" s="34"/>
      <c r="G2" s="34"/>
    </row>
    <row r="3" spans="2:16" ht="16" thickBot="1"/>
    <row r="4" spans="2:16">
      <c r="B4" s="1" t="s">
        <v>0</v>
      </c>
      <c r="C4" s="2"/>
      <c r="D4" s="2"/>
      <c r="E4" s="2"/>
      <c r="F4" s="2"/>
      <c r="G4" s="2"/>
      <c r="H4" s="2"/>
      <c r="I4" s="3"/>
    </row>
    <row r="5" spans="2:16" ht="64.5" customHeight="1">
      <c r="B5" s="133" t="s">
        <v>29</v>
      </c>
      <c r="C5" s="134"/>
      <c r="D5" s="134"/>
      <c r="E5" s="134"/>
      <c r="F5" s="134"/>
      <c r="G5" s="134"/>
      <c r="H5" s="134"/>
      <c r="I5" s="135"/>
      <c r="N5" s="44" t="s">
        <v>124</v>
      </c>
    </row>
    <row r="6" spans="2:16">
      <c r="B6" s="4" t="s">
        <v>1</v>
      </c>
      <c r="C6" s="5"/>
      <c r="D6" s="5"/>
      <c r="E6" s="5"/>
      <c r="F6" s="5"/>
      <c r="G6" s="5"/>
      <c r="H6" s="5"/>
      <c r="I6" s="6"/>
      <c r="N6" s="43">
        <v>1</v>
      </c>
      <c r="O6" s="50">
        <f>E10</f>
        <v>4120</v>
      </c>
    </row>
    <row r="7" spans="2:16">
      <c r="B7" s="51" t="s">
        <v>189</v>
      </c>
      <c r="C7" s="52" t="s">
        <v>185</v>
      </c>
      <c r="D7" s="52" t="s">
        <v>187</v>
      </c>
      <c r="E7" s="58" t="s">
        <v>186</v>
      </c>
      <c r="F7" s="52"/>
      <c r="G7" s="8"/>
      <c r="H7" s="8"/>
      <c r="I7" s="9"/>
      <c r="N7" s="43">
        <v>2</v>
      </c>
      <c r="O7" s="50">
        <f>C20</f>
        <v>50162.914764784306</v>
      </c>
    </row>
    <row r="8" spans="2:16">
      <c r="B8" s="53">
        <v>4000</v>
      </c>
      <c r="C8" s="54">
        <v>0.08</v>
      </c>
      <c r="D8" s="55">
        <v>5</v>
      </c>
      <c r="E8" s="59">
        <f>B8*C8*D8</f>
        <v>1600</v>
      </c>
      <c r="F8" s="55"/>
      <c r="G8" s="11"/>
      <c r="H8" s="11"/>
      <c r="I8" s="12"/>
      <c r="N8" s="43">
        <v>3</v>
      </c>
      <c r="O8" s="50">
        <f>D28</f>
        <v>2197.1103298356129</v>
      </c>
    </row>
    <row r="9" spans="2:16">
      <c r="B9" s="53">
        <v>6000</v>
      </c>
      <c r="C9" s="54">
        <v>7.0000000000000007E-2</v>
      </c>
      <c r="D9" s="55">
        <v>6</v>
      </c>
      <c r="E9" s="59">
        <f>B9*C9*D9</f>
        <v>2520.0000000000005</v>
      </c>
      <c r="F9" s="55"/>
      <c r="G9" s="11"/>
      <c r="H9" s="11"/>
      <c r="I9" s="12"/>
      <c r="N9" s="43">
        <v>4</v>
      </c>
      <c r="O9" s="68">
        <f>G38</f>
        <v>8.1983855523197535E-2</v>
      </c>
    </row>
    <row r="10" spans="2:16">
      <c r="B10" s="53"/>
      <c r="C10" s="55"/>
      <c r="D10" s="55" t="s">
        <v>188</v>
      </c>
      <c r="E10" s="60">
        <f>SUM(E8:E9)</f>
        <v>4120</v>
      </c>
      <c r="F10" s="55"/>
      <c r="G10" s="11"/>
      <c r="H10" s="11"/>
      <c r="I10" s="12"/>
      <c r="N10" s="43">
        <v>5</v>
      </c>
      <c r="O10" s="50">
        <f>C50</f>
        <v>5013.354775816355</v>
      </c>
    </row>
    <row r="11" spans="2:16" ht="16" thickBot="1">
      <c r="B11" s="56"/>
      <c r="C11" s="57"/>
      <c r="D11" s="57"/>
      <c r="E11" s="57"/>
      <c r="F11" s="57"/>
      <c r="G11" s="14"/>
      <c r="H11" s="14"/>
      <c r="I11" s="15"/>
      <c r="N11" s="43">
        <v>6</v>
      </c>
      <c r="O11" s="50">
        <f>C62</f>
        <v>2853.7037037037044</v>
      </c>
    </row>
    <row r="12" spans="2:16">
      <c r="N12" s="43">
        <v>7</v>
      </c>
      <c r="O12" s="68">
        <f>C70</f>
        <v>1.0871416794787137</v>
      </c>
    </row>
    <row r="13" spans="2:16" ht="16" thickBot="1">
      <c r="N13" s="43">
        <v>8</v>
      </c>
      <c r="O13" s="50">
        <f>H80</f>
        <v>-17532.218145845382</v>
      </c>
    </row>
    <row r="14" spans="2:16">
      <c r="B14" s="1" t="s">
        <v>2</v>
      </c>
      <c r="C14" s="2"/>
      <c r="D14" s="2"/>
      <c r="E14" s="2"/>
      <c r="F14" s="2"/>
      <c r="G14" s="2"/>
      <c r="H14" s="2"/>
      <c r="I14" s="3"/>
      <c r="N14" s="43">
        <v>9</v>
      </c>
      <c r="O14" s="68">
        <f>F93</f>
        <v>4.1379743992410623E-2</v>
      </c>
    </row>
    <row r="15" spans="2:16" ht="57" customHeight="1">
      <c r="B15" s="133" t="s">
        <v>30</v>
      </c>
      <c r="C15" s="134"/>
      <c r="D15" s="134"/>
      <c r="E15" s="134"/>
      <c r="F15" s="134"/>
      <c r="G15" s="134"/>
      <c r="H15" s="134"/>
      <c r="I15" s="135"/>
      <c r="N15" s="43">
        <v>10</v>
      </c>
      <c r="O15" s="68">
        <f>H100</f>
        <v>6.8000000000000005E-2</v>
      </c>
    </row>
    <row r="16" spans="2:16">
      <c r="B16" s="4" t="s">
        <v>1</v>
      </c>
      <c r="C16" s="5"/>
      <c r="D16" s="5"/>
      <c r="E16" s="5"/>
      <c r="F16" s="5"/>
      <c r="G16" s="5"/>
      <c r="H16" s="5"/>
      <c r="I16" s="6"/>
      <c r="N16" s="43">
        <v>11</v>
      </c>
      <c r="O16" s="50" t="str">
        <f>H113</f>
        <v>A</v>
      </c>
      <c r="P16" s="104">
        <f>H112</f>
        <v>-10226.07745372584</v>
      </c>
    </row>
    <row r="17" spans="2:16">
      <c r="B17" s="7" t="s">
        <v>190</v>
      </c>
      <c r="C17" s="61">
        <f>10000*(1+10%)^5</f>
        <v>16105.100000000006</v>
      </c>
      <c r="D17" s="8"/>
      <c r="E17" s="8"/>
      <c r="F17" s="8"/>
      <c r="G17" s="8"/>
      <c r="H17" s="8"/>
      <c r="I17" s="9"/>
      <c r="N17" s="43">
        <v>12</v>
      </c>
      <c r="O17" s="50">
        <f>C126</f>
        <v>11.596235294117651</v>
      </c>
      <c r="P17">
        <v>12</v>
      </c>
    </row>
    <row r="18" spans="2:16">
      <c r="B18" s="10" t="s">
        <v>191</v>
      </c>
      <c r="C18" s="62">
        <f>10000*(1+7%)^7</f>
        <v>16057.814764784302</v>
      </c>
      <c r="D18" s="11"/>
      <c r="E18" s="11"/>
      <c r="F18" s="11"/>
      <c r="G18" s="11"/>
      <c r="H18" s="11"/>
      <c r="I18" s="12"/>
      <c r="N18" s="43">
        <v>13</v>
      </c>
      <c r="O18" s="50" t="str">
        <f>C135</f>
        <v>A</v>
      </c>
      <c r="P18" s="104">
        <f>H135</f>
        <v>-0.69430594449377314</v>
      </c>
    </row>
    <row r="19" spans="2:16">
      <c r="B19" s="10" t="s">
        <v>192</v>
      </c>
      <c r="C19" s="62">
        <f>10000*8%*10 + 10000</f>
        <v>18000</v>
      </c>
      <c r="D19" s="11"/>
      <c r="E19" s="11"/>
      <c r="F19" s="11"/>
      <c r="G19" s="11"/>
      <c r="H19" s="11"/>
      <c r="I19" s="12"/>
      <c r="N19" s="43">
        <v>14</v>
      </c>
      <c r="O19" s="68">
        <f>F146</f>
        <v>0.11592956018805445</v>
      </c>
    </row>
    <row r="20" spans="2:16">
      <c r="B20" s="10" t="s">
        <v>188</v>
      </c>
      <c r="C20" s="63">
        <f>SUM(C17:C19)</f>
        <v>50162.914764784306</v>
      </c>
      <c r="D20" s="11"/>
      <c r="E20" s="11"/>
      <c r="F20" s="11"/>
      <c r="G20" s="11"/>
      <c r="H20" s="11"/>
      <c r="I20" s="12"/>
      <c r="N20" s="43">
        <v>15</v>
      </c>
      <c r="O20" s="50">
        <f>C155</f>
        <v>79500</v>
      </c>
    </row>
    <row r="21" spans="2:16" ht="16" thickBot="1">
      <c r="B21" s="13"/>
      <c r="C21" s="14"/>
      <c r="D21" s="14"/>
      <c r="E21" s="14"/>
      <c r="F21" s="14"/>
      <c r="G21" s="14"/>
      <c r="H21" s="14"/>
      <c r="I21" s="15"/>
      <c r="N21" s="43">
        <v>16</v>
      </c>
      <c r="O21" s="106">
        <f>C168</f>
        <v>0.25139351731214599</v>
      </c>
    </row>
    <row r="22" spans="2:16">
      <c r="N22" s="43">
        <v>17</v>
      </c>
      <c r="O22" s="50">
        <f>E182</f>
        <v>74</v>
      </c>
    </row>
    <row r="23" spans="2:16" ht="16" thickBot="1">
      <c r="N23" s="43">
        <v>18</v>
      </c>
      <c r="O23" s="50">
        <f>B205</f>
        <v>42854.961863513432</v>
      </c>
    </row>
    <row r="24" spans="2:16">
      <c r="B24" s="1" t="s">
        <v>3</v>
      </c>
      <c r="C24" s="2"/>
      <c r="D24" s="2"/>
      <c r="E24" s="2"/>
      <c r="F24" s="2"/>
      <c r="G24" s="2"/>
      <c r="H24" s="2"/>
      <c r="I24" s="3"/>
    </row>
    <row r="25" spans="2:16" ht="90.75" customHeight="1">
      <c r="B25" s="133" t="s">
        <v>31</v>
      </c>
      <c r="C25" s="134"/>
      <c r="D25" s="134"/>
      <c r="E25" s="134"/>
      <c r="F25" s="134"/>
      <c r="G25" s="134"/>
      <c r="H25" s="134"/>
      <c r="I25" s="135"/>
    </row>
    <row r="26" spans="2:16" ht="15" customHeight="1">
      <c r="B26" s="4" t="s">
        <v>1</v>
      </c>
      <c r="C26" s="5"/>
      <c r="D26" s="5"/>
      <c r="E26" s="5"/>
      <c r="F26" s="5"/>
      <c r="G26" s="5"/>
      <c r="H26" s="5"/>
      <c r="I26" s="6"/>
    </row>
    <row r="27" spans="2:16">
      <c r="B27" s="7" t="s">
        <v>193</v>
      </c>
      <c r="C27" s="8"/>
      <c r="D27" s="8"/>
      <c r="E27" s="8"/>
      <c r="F27" s="8"/>
      <c r="G27" s="8"/>
      <c r="H27" s="8"/>
      <c r="I27" s="9"/>
    </row>
    <row r="28" spans="2:16">
      <c r="B28" s="64" t="s">
        <v>194</v>
      </c>
      <c r="C28" s="16" t="s">
        <v>195</v>
      </c>
      <c r="D28" s="65">
        <f>-PV(C30,C31,0,C29)</f>
        <v>2197.1103298356129</v>
      </c>
      <c r="E28" s="11"/>
      <c r="F28" s="11"/>
      <c r="G28" s="11"/>
      <c r="H28" s="11"/>
      <c r="I28" s="12"/>
    </row>
    <row r="29" spans="2:16">
      <c r="B29" s="10" t="s">
        <v>196</v>
      </c>
      <c r="C29" s="11">
        <v>100000</v>
      </c>
      <c r="D29" s="11"/>
      <c r="E29" s="11"/>
      <c r="F29" s="11"/>
      <c r="G29" s="11"/>
      <c r="H29" s="11"/>
      <c r="I29" s="12"/>
    </row>
    <row r="30" spans="2:16">
      <c r="B30" s="10" t="s">
        <v>197</v>
      </c>
      <c r="C30" s="18">
        <v>0.16500000000000001</v>
      </c>
      <c r="D30" s="11"/>
      <c r="E30" s="11"/>
      <c r="F30" s="11"/>
      <c r="G30" s="11"/>
      <c r="H30" s="11"/>
      <c r="I30" s="12"/>
    </row>
    <row r="31" spans="2:16" ht="16" thickBot="1">
      <c r="B31" s="13" t="s">
        <v>198</v>
      </c>
      <c r="C31" s="14">
        <v>25</v>
      </c>
      <c r="D31" s="14"/>
      <c r="E31" s="14"/>
      <c r="F31" s="14"/>
      <c r="G31" s="14"/>
      <c r="H31" s="14"/>
      <c r="I31" s="15"/>
    </row>
    <row r="33" spans="2:9" ht="16" thickBot="1"/>
    <row r="34" spans="2:9">
      <c r="B34" s="1" t="s">
        <v>4</v>
      </c>
      <c r="C34" s="2"/>
      <c r="D34" s="2"/>
      <c r="E34" s="2"/>
      <c r="F34" s="2"/>
      <c r="G34" s="2"/>
      <c r="H34" s="2"/>
      <c r="I34" s="3"/>
    </row>
    <row r="35" spans="2:9" ht="80.25" customHeight="1">
      <c r="B35" s="133" t="s">
        <v>32</v>
      </c>
      <c r="C35" s="134"/>
      <c r="D35" s="134"/>
      <c r="E35" s="134"/>
      <c r="F35" s="134"/>
      <c r="G35" s="134"/>
      <c r="H35" s="134"/>
      <c r="I35" s="135"/>
    </row>
    <row r="36" spans="2:9">
      <c r="B36" s="4" t="s">
        <v>1</v>
      </c>
      <c r="C36" s="5"/>
      <c r="D36" s="5"/>
      <c r="E36" s="5"/>
      <c r="F36" s="5"/>
      <c r="G36" s="5"/>
      <c r="H36" s="5"/>
      <c r="I36" s="6"/>
    </row>
    <row r="37" spans="2:9">
      <c r="B37" s="7" t="s">
        <v>201</v>
      </c>
      <c r="C37" s="8">
        <v>30000</v>
      </c>
      <c r="D37" s="8"/>
      <c r="E37" s="8" t="s">
        <v>200</v>
      </c>
      <c r="F37" s="66"/>
      <c r="G37" s="19">
        <f>C39/C37</f>
        <v>0.26666666666666666</v>
      </c>
      <c r="H37" s="8"/>
      <c r="I37" s="9"/>
    </row>
    <row r="38" spans="2:9">
      <c r="B38" s="10" t="s">
        <v>202</v>
      </c>
      <c r="C38" s="62">
        <v>38000</v>
      </c>
      <c r="D38" s="11"/>
      <c r="E38" s="11" t="s">
        <v>204</v>
      </c>
      <c r="F38" s="11"/>
      <c r="G38" s="67">
        <f>(100%+G37)^(1/3)-100%</f>
        <v>8.1983855523197535E-2</v>
      </c>
      <c r="H38" s="11"/>
      <c r="I38" s="12"/>
    </row>
    <row r="39" spans="2:9">
      <c r="B39" s="10" t="s">
        <v>145</v>
      </c>
      <c r="C39" s="62">
        <f>C38-C37</f>
        <v>8000</v>
      </c>
      <c r="D39" s="11"/>
      <c r="E39" s="11"/>
      <c r="F39" s="11"/>
      <c r="G39" s="11"/>
      <c r="H39" s="11"/>
      <c r="I39" s="12"/>
    </row>
    <row r="40" spans="2:9">
      <c r="B40" s="10" t="s">
        <v>203</v>
      </c>
      <c r="C40" s="11">
        <v>3</v>
      </c>
      <c r="D40" s="11"/>
      <c r="E40" s="11"/>
      <c r="F40" s="11"/>
      <c r="G40" s="11"/>
      <c r="H40" s="11"/>
      <c r="I40" s="12"/>
    </row>
    <row r="41" spans="2:9" ht="16" thickBot="1">
      <c r="B41" s="13"/>
      <c r="C41" s="14"/>
      <c r="D41" s="14"/>
      <c r="E41" s="14"/>
      <c r="F41" s="14"/>
      <c r="G41" s="14"/>
      <c r="H41" s="14"/>
      <c r="I41" s="15"/>
    </row>
    <row r="43" spans="2:9" ht="16" thickBot="1"/>
    <row r="44" spans="2:9" ht="15" customHeight="1">
      <c r="B44" s="1" t="s">
        <v>5</v>
      </c>
      <c r="C44" s="2"/>
      <c r="D44" s="2"/>
      <c r="E44" s="2"/>
      <c r="F44" s="2"/>
      <c r="G44" s="2"/>
      <c r="H44" s="2"/>
      <c r="I44" s="3"/>
    </row>
    <row r="45" spans="2:9" ht="57.75" customHeight="1">
      <c r="B45" s="133" t="s">
        <v>40</v>
      </c>
      <c r="C45" s="134"/>
      <c r="D45" s="134"/>
      <c r="E45" s="134"/>
      <c r="F45" s="134"/>
      <c r="G45" s="134"/>
      <c r="H45" s="134"/>
      <c r="I45" s="135"/>
    </row>
    <row r="46" spans="2:9">
      <c r="B46" s="4" t="s">
        <v>1</v>
      </c>
      <c r="C46" s="5"/>
      <c r="D46" s="5"/>
      <c r="E46" s="5"/>
      <c r="F46" s="5"/>
      <c r="G46" s="5"/>
      <c r="H46" s="5"/>
      <c r="I46" s="6"/>
    </row>
    <row r="47" spans="2:9">
      <c r="B47" s="72" t="s">
        <v>206</v>
      </c>
      <c r="C47" s="72">
        <v>1</v>
      </c>
      <c r="D47" s="73">
        <v>2</v>
      </c>
      <c r="E47" s="72">
        <v>3</v>
      </c>
      <c r="F47" s="73">
        <v>4</v>
      </c>
      <c r="G47" s="72">
        <v>5</v>
      </c>
      <c r="H47" s="8"/>
      <c r="I47" s="9"/>
    </row>
    <row r="48" spans="2:9">
      <c r="B48" s="72" t="s">
        <v>205</v>
      </c>
      <c r="C48" s="72">
        <v>980</v>
      </c>
      <c r="D48" s="72">
        <v>1040</v>
      </c>
      <c r="E48" s="72">
        <v>1500</v>
      </c>
      <c r="F48" s="72">
        <v>1600</v>
      </c>
      <c r="G48" s="72">
        <v>1680</v>
      </c>
      <c r="H48" s="11"/>
      <c r="I48" s="12"/>
    </row>
    <row r="49" spans="2:9">
      <c r="B49" s="72"/>
      <c r="C49" s="74">
        <f>PV(D51,C47,0,C48) *-1</f>
        <v>890.90909090909088</v>
      </c>
      <c r="D49" s="74">
        <f>- PV(D51,D47,0,D48)</f>
        <v>859.50413223140481</v>
      </c>
      <c r="E49" s="74">
        <f>PV(D51,E47,0,E48)*-1</f>
        <v>1126.9722013523663</v>
      </c>
      <c r="F49" s="74">
        <f>- PV(D51,F47,0,F48)</f>
        <v>1092.8215285841129</v>
      </c>
      <c r="G49" s="74">
        <f>PV(D51,G47,0,G48) *-1</f>
        <v>1043.1478227393804</v>
      </c>
      <c r="H49" s="11"/>
      <c r="I49" s="12"/>
    </row>
    <row r="50" spans="2:9">
      <c r="B50" s="10" t="s">
        <v>208</v>
      </c>
      <c r="C50" s="63">
        <f>SUM(C49:G49)</f>
        <v>5013.354775816355</v>
      </c>
      <c r="D50" s="11"/>
      <c r="E50" s="11"/>
      <c r="F50" s="11"/>
      <c r="G50" s="11"/>
      <c r="H50" s="11"/>
      <c r="I50" s="12"/>
    </row>
    <row r="51" spans="2:9" ht="16" thickBot="1">
      <c r="B51" s="13" t="s">
        <v>209</v>
      </c>
      <c r="C51" s="14"/>
      <c r="D51" s="69">
        <v>0.1</v>
      </c>
      <c r="E51" s="14"/>
      <c r="F51" s="14"/>
      <c r="G51" s="14"/>
      <c r="H51" s="14"/>
      <c r="I51" s="15"/>
    </row>
    <row r="53" spans="2:9" ht="16" thickBot="1"/>
    <row r="54" spans="2:9">
      <c r="B54" s="1" t="s">
        <v>6</v>
      </c>
      <c r="C54" s="2"/>
      <c r="D54" s="2"/>
      <c r="E54" s="2"/>
      <c r="F54" s="2"/>
      <c r="G54" s="2"/>
      <c r="H54" s="2"/>
      <c r="I54" s="3"/>
    </row>
    <row r="55" spans="2:9" ht="53.25" customHeight="1">
      <c r="B55" s="133" t="s">
        <v>33</v>
      </c>
      <c r="C55" s="134"/>
      <c r="D55" s="134"/>
      <c r="E55" s="134"/>
      <c r="F55" s="134"/>
      <c r="G55" s="134"/>
      <c r="H55" s="134"/>
      <c r="I55" s="135"/>
    </row>
    <row r="56" spans="2:9">
      <c r="B56" s="4" t="s">
        <v>1</v>
      </c>
      <c r="C56" s="5"/>
      <c r="D56" s="5"/>
      <c r="E56" s="5"/>
      <c r="F56" s="5"/>
      <c r="G56" s="5"/>
      <c r="H56" s="5"/>
      <c r="I56" s="6"/>
    </row>
    <row r="57" spans="2:9">
      <c r="B57" s="72" t="s">
        <v>206</v>
      </c>
      <c r="C57" s="73">
        <v>0</v>
      </c>
      <c r="D57" s="73">
        <v>1</v>
      </c>
      <c r="E57" s="73">
        <v>2</v>
      </c>
      <c r="F57" s="73">
        <v>3</v>
      </c>
      <c r="G57" s="73">
        <v>4</v>
      </c>
      <c r="H57" s="73">
        <v>5</v>
      </c>
      <c r="I57" s="9"/>
    </row>
    <row r="58" spans="2:9">
      <c r="B58" s="72" t="s">
        <v>210</v>
      </c>
      <c r="C58" s="72">
        <v>-1000</v>
      </c>
      <c r="D58" s="72"/>
      <c r="E58" s="72"/>
      <c r="F58" s="75"/>
      <c r="G58" s="72"/>
      <c r="H58" s="72"/>
      <c r="I58" s="12"/>
    </row>
    <row r="59" spans="2:9">
      <c r="B59" s="72" t="s">
        <v>211</v>
      </c>
      <c r="C59" s="72">
        <f>C58</f>
        <v>-1000</v>
      </c>
      <c r="D59" s="72">
        <v>980</v>
      </c>
      <c r="E59" s="72">
        <v>1040</v>
      </c>
      <c r="F59" s="72">
        <v>1500</v>
      </c>
      <c r="G59" s="72">
        <v>1600</v>
      </c>
      <c r="H59" s="72">
        <v>1680</v>
      </c>
      <c r="I59" s="12"/>
    </row>
    <row r="60" spans="2:9">
      <c r="B60" s="72"/>
      <c r="C60" s="72"/>
      <c r="D60" s="74">
        <f>PV(D63,D57,0,D59)*-1</f>
        <v>816.66666666666674</v>
      </c>
      <c r="E60" s="74">
        <f>PV(D63,E57,0,E59)*-1</f>
        <v>722.22222222222229</v>
      </c>
      <c r="F60" s="74">
        <f>PV(D63,F57,0,F59)*-1</f>
        <v>868.05555555555554</v>
      </c>
      <c r="G60" s="74">
        <f>PV(D63,G57,0,G59)*-1</f>
        <v>771.60493827160496</v>
      </c>
      <c r="H60" s="74">
        <f>PV(D63,H57,0,H59)*-1</f>
        <v>675.15432098765439</v>
      </c>
      <c r="I60" s="12"/>
    </row>
    <row r="61" spans="2:9">
      <c r="B61" s="78" t="s">
        <v>208</v>
      </c>
      <c r="C61" s="62">
        <f>SUM(D60:H60)</f>
        <v>3853.7037037037044</v>
      </c>
      <c r="D61" s="65"/>
      <c r="E61" s="65"/>
      <c r="F61" s="65"/>
      <c r="G61" s="65"/>
      <c r="H61" s="65"/>
      <c r="I61" s="12"/>
    </row>
    <row r="62" spans="2:9">
      <c r="B62" s="78" t="s">
        <v>212</v>
      </c>
      <c r="C62" s="63">
        <f>C61+C58</f>
        <v>2853.7037037037044</v>
      </c>
      <c r="D62" s="65"/>
      <c r="E62" s="65"/>
      <c r="F62" s="65" t="s">
        <v>213</v>
      </c>
      <c r="G62" s="62">
        <f>NPV(D63,D59:H59)+C58</f>
        <v>2853.7037037037044</v>
      </c>
      <c r="H62" s="65"/>
      <c r="I62" s="12"/>
    </row>
    <row r="63" spans="2:9" ht="16" thickBot="1">
      <c r="B63" s="13" t="s">
        <v>209</v>
      </c>
      <c r="C63" s="14"/>
      <c r="D63" s="69">
        <v>0.2</v>
      </c>
      <c r="E63" s="14"/>
      <c r="F63" s="14"/>
      <c r="G63" s="14"/>
      <c r="H63" s="14"/>
      <c r="I63" s="15"/>
    </row>
    <row r="65" spans="2:9" ht="16" thickBot="1"/>
    <row r="66" spans="2:9">
      <c r="B66" s="1" t="s">
        <v>7</v>
      </c>
      <c r="C66" s="2"/>
      <c r="D66" s="2"/>
      <c r="E66" s="2"/>
      <c r="F66" s="2"/>
      <c r="G66" s="2"/>
      <c r="H66" s="2"/>
      <c r="I66" s="3"/>
    </row>
    <row r="67" spans="2:9" ht="57.75" customHeight="1">
      <c r="B67" s="136" t="s">
        <v>8</v>
      </c>
      <c r="C67" s="137"/>
      <c r="D67" s="137"/>
      <c r="E67" s="137"/>
      <c r="F67" s="137"/>
      <c r="G67" s="137"/>
      <c r="H67" s="137"/>
      <c r="I67" s="138"/>
    </row>
    <row r="68" spans="2:9">
      <c r="B68" s="4" t="s">
        <v>1</v>
      </c>
      <c r="C68" s="5"/>
      <c r="D68" s="5"/>
      <c r="E68" s="5"/>
      <c r="F68" s="5"/>
      <c r="G68" s="5"/>
      <c r="H68" s="5"/>
      <c r="I68" s="6"/>
    </row>
    <row r="69" spans="2:9">
      <c r="B69" s="7"/>
      <c r="C69" s="8"/>
      <c r="D69" s="8"/>
      <c r="E69" s="8"/>
      <c r="F69" s="8"/>
      <c r="G69" s="8"/>
      <c r="H69" s="8"/>
      <c r="I69" s="9"/>
    </row>
    <row r="70" spans="2:9">
      <c r="B70" s="81" t="s">
        <v>214</v>
      </c>
      <c r="C70" s="18">
        <f>IRR(C59:H59)</f>
        <v>1.0871416794787137</v>
      </c>
      <c r="D70" s="11"/>
      <c r="E70" s="11"/>
      <c r="F70" s="11"/>
      <c r="G70" s="11"/>
      <c r="H70" s="11"/>
      <c r="I70" s="12"/>
    </row>
    <row r="71" spans="2:9">
      <c r="B71" s="10"/>
      <c r="C71" s="11"/>
      <c r="D71" s="17"/>
      <c r="E71" s="11"/>
      <c r="F71" s="11"/>
      <c r="G71" s="11"/>
      <c r="H71" s="11"/>
      <c r="I71" s="12"/>
    </row>
    <row r="72" spans="2:9">
      <c r="B72" s="10"/>
      <c r="C72" s="11"/>
      <c r="D72" s="11"/>
      <c r="E72" s="11"/>
      <c r="F72" s="11"/>
      <c r="G72" s="11"/>
      <c r="H72" s="11"/>
      <c r="I72" s="12"/>
    </row>
    <row r="73" spans="2:9" ht="16" thickBot="1">
      <c r="B73" s="13"/>
      <c r="C73" s="14"/>
      <c r="D73" s="14"/>
      <c r="E73" s="14"/>
      <c r="F73" s="14"/>
      <c r="G73" s="14"/>
      <c r="H73" s="14"/>
      <c r="I73" s="15"/>
    </row>
    <row r="75" spans="2:9" ht="16" thickBot="1"/>
    <row r="76" spans="2:9">
      <c r="B76" s="1" t="s">
        <v>9</v>
      </c>
      <c r="C76" s="2"/>
      <c r="D76" s="2"/>
      <c r="E76" s="2"/>
      <c r="F76" s="2"/>
      <c r="G76" s="2"/>
      <c r="H76" s="2"/>
      <c r="I76" s="3"/>
    </row>
    <row r="77" spans="2:9" ht="107.25" customHeight="1">
      <c r="B77" s="136" t="s">
        <v>34</v>
      </c>
      <c r="C77" s="137"/>
      <c r="D77" s="137"/>
      <c r="E77" s="137"/>
      <c r="F77" s="137"/>
      <c r="G77" s="137"/>
      <c r="H77" s="137"/>
      <c r="I77" s="138"/>
    </row>
    <row r="78" spans="2:9">
      <c r="B78" s="4" t="s">
        <v>1</v>
      </c>
      <c r="C78" s="5"/>
      <c r="D78" s="5"/>
      <c r="E78" s="5"/>
      <c r="F78" s="5"/>
      <c r="G78" s="5"/>
      <c r="H78" s="5"/>
      <c r="I78" s="6"/>
    </row>
    <row r="79" spans="2:9">
      <c r="B79" s="7" t="s">
        <v>215</v>
      </c>
      <c r="C79" s="8"/>
      <c r="D79" s="82">
        <f>12*5</f>
        <v>60</v>
      </c>
      <c r="E79" s="8"/>
      <c r="F79" s="8" t="s">
        <v>220</v>
      </c>
      <c r="G79" s="61"/>
      <c r="H79" s="8">
        <f>FV(D82,D79,D81,D80)*-1</f>
        <v>32467.781854154618</v>
      </c>
      <c r="I79" s="9"/>
    </row>
    <row r="80" spans="2:9">
      <c r="B80" s="10" t="s">
        <v>216</v>
      </c>
      <c r="C80" s="11"/>
      <c r="D80" s="11">
        <v>20000</v>
      </c>
      <c r="E80" s="11"/>
      <c r="F80" s="11" t="s">
        <v>221</v>
      </c>
      <c r="H80" s="63">
        <f>H79-D83</f>
        <v>-17532.218145845382</v>
      </c>
      <c r="I80" s="12"/>
    </row>
    <row r="81" spans="2:9">
      <c r="B81" s="10" t="s">
        <v>217</v>
      </c>
      <c r="C81" s="11"/>
      <c r="D81" s="11">
        <v>100</v>
      </c>
      <c r="E81" s="11"/>
      <c r="F81" s="11" t="s">
        <v>222</v>
      </c>
      <c r="G81" s="11"/>
      <c r="H81" s="11"/>
      <c r="I81" s="12"/>
    </row>
    <row r="82" spans="2:9">
      <c r="B82" s="10" t="s">
        <v>218</v>
      </c>
      <c r="C82" s="11"/>
      <c r="D82" s="67">
        <f>5%/12</f>
        <v>4.1666666666666666E-3</v>
      </c>
      <c r="E82" s="11"/>
      <c r="F82" s="11"/>
      <c r="G82" s="11"/>
      <c r="H82" s="11"/>
      <c r="I82" s="12"/>
    </row>
    <row r="83" spans="2:9" ht="16" thickBot="1">
      <c r="B83" s="13" t="s">
        <v>219</v>
      </c>
      <c r="C83" s="14"/>
      <c r="D83" s="14">
        <v>50000</v>
      </c>
      <c r="E83" s="14"/>
      <c r="F83" s="14"/>
      <c r="G83" s="14"/>
      <c r="H83" s="14"/>
      <c r="I83" s="15"/>
    </row>
    <row r="85" spans="2:9" ht="16" thickBot="1"/>
    <row r="86" spans="2:9">
      <c r="B86" s="1" t="s">
        <v>10</v>
      </c>
      <c r="C86" s="2"/>
      <c r="D86" s="2"/>
      <c r="E86" s="2"/>
      <c r="F86" s="2"/>
      <c r="G86" s="2"/>
      <c r="H86" s="2"/>
      <c r="I86" s="3"/>
    </row>
    <row r="87" spans="2:9" ht="87.75" customHeight="1">
      <c r="B87" s="136" t="s">
        <v>11</v>
      </c>
      <c r="C87" s="137"/>
      <c r="D87" s="137"/>
      <c r="E87" s="137"/>
      <c r="F87" s="137"/>
      <c r="G87" s="137"/>
      <c r="H87" s="137"/>
      <c r="I87" s="138"/>
    </row>
    <row r="88" spans="2:9">
      <c r="B88" s="4" t="s">
        <v>1</v>
      </c>
      <c r="C88" s="83">
        <f>F92</f>
        <v>4.1379743992410623E-2</v>
      </c>
      <c r="D88" s="5"/>
      <c r="E88" s="5"/>
      <c r="F88" s="5"/>
      <c r="G88" s="5"/>
      <c r="H88" s="5"/>
      <c r="I88" s="6"/>
    </row>
    <row r="89" spans="2:9">
      <c r="B89" s="7" t="s">
        <v>224</v>
      </c>
      <c r="C89" s="8"/>
      <c r="D89" s="8"/>
      <c r="E89" s="8"/>
      <c r="F89" s="8"/>
      <c r="G89" s="8"/>
      <c r="H89" s="8"/>
      <c r="I89" s="9"/>
    </row>
    <row r="90" spans="2:9">
      <c r="B90" s="10" t="s">
        <v>223</v>
      </c>
      <c r="C90" s="11"/>
      <c r="E90" s="11" t="s">
        <v>225</v>
      </c>
      <c r="F90" s="11"/>
      <c r="G90" s="11"/>
      <c r="H90" s="11"/>
      <c r="I90" s="12"/>
    </row>
    <row r="91" spans="2:9">
      <c r="B91" s="10" t="s">
        <v>226</v>
      </c>
      <c r="C91" s="11"/>
      <c r="D91" s="11"/>
      <c r="E91" s="11" t="s">
        <v>227</v>
      </c>
      <c r="F91" s="11"/>
      <c r="G91" s="11"/>
      <c r="H91" s="11"/>
      <c r="I91" s="12"/>
    </row>
    <row r="92" spans="2:9">
      <c r="B92" s="10"/>
      <c r="C92" s="11"/>
      <c r="D92" s="11" t="s">
        <v>228</v>
      </c>
      <c r="E92" s="11"/>
      <c r="F92" s="11">
        <f>1.5^(1/10) - 1</f>
        <v>4.1379743992410623E-2</v>
      </c>
      <c r="G92" s="11"/>
      <c r="H92" s="11"/>
      <c r="I92" s="12"/>
    </row>
    <row r="93" spans="2:9" ht="16" thickBot="1">
      <c r="B93" s="13"/>
      <c r="C93" s="14"/>
      <c r="D93" s="14" t="s">
        <v>229</v>
      </c>
      <c r="E93" s="14"/>
      <c r="F93" s="84">
        <f>F92</f>
        <v>4.1379743992410623E-2</v>
      </c>
      <c r="G93" s="14"/>
      <c r="H93" s="14"/>
      <c r="I93" s="15"/>
    </row>
    <row r="95" spans="2:9" ht="16" thickBot="1"/>
    <row r="96" spans="2:9">
      <c r="B96" s="1" t="s">
        <v>12</v>
      </c>
      <c r="C96" s="2"/>
      <c r="D96" s="2"/>
      <c r="E96" s="2"/>
      <c r="F96" s="2"/>
      <c r="G96" s="2"/>
      <c r="H96" s="2"/>
      <c r="I96" s="3"/>
    </row>
    <row r="97" spans="2:9" ht="91.5" customHeight="1">
      <c r="B97" s="136" t="s">
        <v>28</v>
      </c>
      <c r="C97" s="137"/>
      <c r="D97" s="137"/>
      <c r="E97" s="137"/>
      <c r="F97" s="137"/>
      <c r="G97" s="137"/>
      <c r="H97" s="137"/>
      <c r="I97" s="138"/>
    </row>
    <row r="98" spans="2:9">
      <c r="B98" s="4" t="s">
        <v>1</v>
      </c>
      <c r="C98" s="5"/>
      <c r="D98" s="5"/>
      <c r="E98" s="5"/>
      <c r="F98" s="5"/>
      <c r="G98" s="5"/>
      <c r="H98" s="5"/>
      <c r="I98" s="6"/>
    </row>
    <row r="99" spans="2:9">
      <c r="B99" s="7" t="s">
        <v>230</v>
      </c>
      <c r="C99" s="8">
        <f>1-C102</f>
        <v>0.6</v>
      </c>
      <c r="D99" s="8" t="s">
        <v>235</v>
      </c>
      <c r="E99" s="8"/>
      <c r="F99" s="8"/>
      <c r="G99" s="8"/>
      <c r="H99" s="8"/>
      <c r="I99" s="9"/>
    </row>
    <row r="100" spans="2:9">
      <c r="B100" s="10" t="s">
        <v>231</v>
      </c>
      <c r="C100" s="17">
        <v>0.08</v>
      </c>
      <c r="D100" s="11" t="s">
        <v>236</v>
      </c>
      <c r="F100" s="11" t="s">
        <v>234</v>
      </c>
      <c r="G100" s="11"/>
      <c r="H100" s="67">
        <f>C99*C100+C101*C102</f>
        <v>6.8000000000000005E-2</v>
      </c>
      <c r="I100" s="12"/>
    </row>
    <row r="101" spans="2:9">
      <c r="B101" s="10" t="s">
        <v>232</v>
      </c>
      <c r="C101" s="17">
        <v>0.05</v>
      </c>
      <c r="D101" s="11" t="s">
        <v>237</v>
      </c>
      <c r="E101" s="11"/>
      <c r="F101" s="11"/>
      <c r="G101" s="11"/>
      <c r="H101" s="11"/>
      <c r="I101" s="12"/>
    </row>
    <row r="102" spans="2:9">
      <c r="B102" s="10" t="s">
        <v>233</v>
      </c>
      <c r="C102" s="11">
        <f>0.4</f>
        <v>0.4</v>
      </c>
      <c r="D102" s="11" t="s">
        <v>238</v>
      </c>
      <c r="E102" s="11"/>
      <c r="F102" s="11"/>
      <c r="G102" s="11"/>
      <c r="H102" s="11"/>
      <c r="I102" s="12"/>
    </row>
    <row r="103" spans="2:9" ht="16" thickBot="1">
      <c r="B103" s="13"/>
      <c r="C103" s="14"/>
      <c r="D103" s="14"/>
      <c r="E103" s="14"/>
      <c r="F103" s="14"/>
      <c r="G103" s="14"/>
      <c r="H103" s="14"/>
      <c r="I103" s="15"/>
    </row>
    <row r="105" spans="2:9" ht="16" thickBot="1"/>
    <row r="106" spans="2:9">
      <c r="B106" s="1" t="s">
        <v>13</v>
      </c>
      <c r="C106" s="2"/>
      <c r="D106" s="2"/>
      <c r="E106" s="2"/>
      <c r="F106" s="2"/>
      <c r="G106" s="2"/>
      <c r="H106" s="2"/>
      <c r="I106" s="3"/>
    </row>
    <row r="107" spans="2:9" ht="102" customHeight="1">
      <c r="B107" s="136" t="s">
        <v>35</v>
      </c>
      <c r="C107" s="137"/>
      <c r="D107" s="137"/>
      <c r="E107" s="137"/>
      <c r="F107" s="137"/>
      <c r="G107" s="137"/>
      <c r="H107" s="137"/>
      <c r="I107" s="138"/>
    </row>
    <row r="108" spans="2:9">
      <c r="B108" s="4" t="s">
        <v>1</v>
      </c>
      <c r="C108" s="5"/>
      <c r="D108" s="5"/>
      <c r="E108" s="5"/>
      <c r="F108" s="5"/>
      <c r="G108" s="5"/>
      <c r="H108" s="5"/>
      <c r="I108" s="6"/>
    </row>
    <row r="109" spans="2:9">
      <c r="B109" s="72"/>
      <c r="C109" s="72">
        <v>0</v>
      </c>
      <c r="D109" s="72">
        <v>1</v>
      </c>
      <c r="E109" s="72">
        <v>2</v>
      </c>
      <c r="F109" s="72">
        <v>3</v>
      </c>
      <c r="G109" s="72">
        <v>4</v>
      </c>
      <c r="H109" s="8"/>
      <c r="I109" s="9" t="s">
        <v>242</v>
      </c>
    </row>
    <row r="110" spans="2:9">
      <c r="B110" s="72" t="s">
        <v>239</v>
      </c>
      <c r="C110" s="72">
        <v>-20000</v>
      </c>
      <c r="D110" s="72">
        <v>10000</v>
      </c>
      <c r="E110" s="72">
        <v>12000</v>
      </c>
      <c r="F110" s="72">
        <v>15000</v>
      </c>
      <c r="G110" s="72">
        <v>16000</v>
      </c>
      <c r="H110" s="16"/>
      <c r="I110" s="12" t="s">
        <v>243</v>
      </c>
    </row>
    <row r="111" spans="2:9">
      <c r="B111" s="72" t="s">
        <v>240</v>
      </c>
      <c r="C111" s="72">
        <v>-30000</v>
      </c>
      <c r="D111" s="72">
        <v>9000</v>
      </c>
      <c r="E111" s="72">
        <v>12000</v>
      </c>
      <c r="F111" s="72">
        <v>15000</v>
      </c>
      <c r="G111" s="72">
        <v>17000</v>
      </c>
      <c r="H111" s="16"/>
      <c r="I111" s="12"/>
    </row>
    <row r="112" spans="2:9">
      <c r="B112" s="10" t="s">
        <v>241</v>
      </c>
      <c r="C112" s="17">
        <v>0.1</v>
      </c>
      <c r="D112" s="11"/>
      <c r="E112" s="11" t="s">
        <v>245</v>
      </c>
      <c r="F112" s="62">
        <f>NPV(C112,D110:G110)+C110</f>
        <v>21206.201762174707</v>
      </c>
      <c r="G112" s="121" t="s">
        <v>253</v>
      </c>
      <c r="H112" s="122">
        <f>F113-F112</f>
        <v>-10226.07745372584</v>
      </c>
      <c r="I112" s="12"/>
    </row>
    <row r="113" spans="2:9" ht="16" thickBot="1">
      <c r="B113" s="13"/>
      <c r="C113" s="14"/>
      <c r="D113" s="14"/>
      <c r="E113" s="14" t="s">
        <v>246</v>
      </c>
      <c r="F113" s="85">
        <f>NPV(C112,D111:G111)+C111</f>
        <v>10980.124308448867</v>
      </c>
      <c r="G113" s="87" t="s">
        <v>244</v>
      </c>
      <c r="H113" s="88" t="str">
        <f>IF(F112&gt;F113,I109,I110)</f>
        <v>A</v>
      </c>
      <c r="I113" s="15"/>
    </row>
    <row r="115" spans="2:9" ht="16" thickBot="1"/>
    <row r="116" spans="2:9">
      <c r="B116" s="1" t="s">
        <v>14</v>
      </c>
      <c r="C116" s="2"/>
      <c r="D116" s="2"/>
      <c r="E116" s="2"/>
      <c r="F116" s="2"/>
      <c r="G116" s="2"/>
      <c r="H116" s="2"/>
      <c r="I116" s="3"/>
    </row>
    <row r="117" spans="2:9" ht="40.5" customHeight="1">
      <c r="B117" s="136" t="s">
        <v>26</v>
      </c>
      <c r="C117" s="137"/>
      <c r="D117" s="137"/>
      <c r="E117" s="137"/>
      <c r="F117" s="137"/>
      <c r="G117" s="137"/>
      <c r="H117" s="137"/>
      <c r="I117" s="138"/>
    </row>
    <row r="118" spans="2:9">
      <c r="B118" s="4" t="s">
        <v>1</v>
      </c>
      <c r="C118" s="5"/>
      <c r="D118" s="5"/>
      <c r="E118" s="5"/>
      <c r="F118" s="5"/>
      <c r="G118" s="5"/>
      <c r="H118" s="5"/>
      <c r="I118" s="6"/>
    </row>
    <row r="119" spans="2:9">
      <c r="B119" s="72"/>
      <c r="C119" s="72">
        <v>0</v>
      </c>
      <c r="D119" s="72">
        <v>1</v>
      </c>
      <c r="E119" s="72">
        <v>2</v>
      </c>
      <c r="F119" s="72">
        <v>3</v>
      </c>
      <c r="G119" s="72">
        <v>4</v>
      </c>
      <c r="H119" s="8"/>
      <c r="I119" s="9"/>
    </row>
    <row r="120" spans="2:9">
      <c r="B120" s="72" t="s">
        <v>247</v>
      </c>
      <c r="C120" s="72">
        <v>-20000</v>
      </c>
      <c r="D120" s="76">
        <f>PV(C122,D119,0,D110)*-1</f>
        <v>9090.9090909090901</v>
      </c>
      <c r="E120" s="76">
        <f>PV(C122,E119,0,E110)*-1</f>
        <v>9917.355371900825</v>
      </c>
      <c r="F120" s="76">
        <f>PV(C122,F119,0,F110)*-1</f>
        <v>11269.722013523662</v>
      </c>
      <c r="G120" s="76">
        <f>PV(C122,G119,0,G110)*-1</f>
        <v>10928.215285841128</v>
      </c>
      <c r="H120" s="11"/>
      <c r="I120" s="12"/>
    </row>
    <row r="121" spans="2:9">
      <c r="B121" s="72" t="s">
        <v>248</v>
      </c>
      <c r="C121" s="72">
        <v>-30000</v>
      </c>
      <c r="D121" s="76">
        <f>PV(C122,D119,0,D111)*-1</f>
        <v>8181.8181818181811</v>
      </c>
      <c r="E121" s="76">
        <f>PV(C122,E119,0,E111)*-1</f>
        <v>9917.355371900825</v>
      </c>
      <c r="F121" s="76">
        <f>PV(C122,F119,0,F111)*-1</f>
        <v>11269.722013523662</v>
      </c>
      <c r="G121" s="76">
        <f>PV(C122,G119,0,G111)*-1</f>
        <v>11611.228741206198</v>
      </c>
      <c r="H121" s="11"/>
      <c r="I121" s="12"/>
    </row>
    <row r="122" spans="2:9">
      <c r="B122" s="89" t="s">
        <v>241</v>
      </c>
      <c r="C122" s="90">
        <v>0.1</v>
      </c>
      <c r="D122" s="11"/>
      <c r="E122" s="77" t="s">
        <v>249</v>
      </c>
      <c r="F122" s="70"/>
      <c r="H122" s="94">
        <f>SUM(D120:F120)</f>
        <v>30277.986476333579</v>
      </c>
      <c r="I122" s="12"/>
    </row>
    <row r="123" spans="2:9">
      <c r="B123" s="79"/>
      <c r="C123" s="11"/>
      <c r="D123" s="11"/>
      <c r="E123" s="92" t="s">
        <v>250</v>
      </c>
      <c r="F123" s="86"/>
      <c r="G123" s="96"/>
      <c r="H123" s="95">
        <f>SUM(D121:G121)</f>
        <v>40980.124308448867</v>
      </c>
      <c r="I123" s="71"/>
    </row>
    <row r="124" spans="2:9">
      <c r="B124" s="79" t="s">
        <v>254</v>
      </c>
      <c r="C124" s="99">
        <f>(2*12+12*G124)</f>
        <v>25.056000000000001</v>
      </c>
      <c r="D124" s="11"/>
      <c r="E124" s="11" t="s">
        <v>251</v>
      </c>
      <c r="F124" s="11"/>
      <c r="G124" s="97">
        <f>1 - (H122+C120)/F120</f>
        <v>8.8000000000000078E-2</v>
      </c>
      <c r="H124" s="11"/>
      <c r="I124" s="71"/>
    </row>
    <row r="125" spans="2:9">
      <c r="B125" s="79" t="s">
        <v>255</v>
      </c>
      <c r="C125" s="100">
        <f xml:space="preserve"> (3*12+12*G125)</f>
        <v>36.652235294117652</v>
      </c>
      <c r="D125" s="11"/>
      <c r="E125" s="98" t="s">
        <v>252</v>
      </c>
      <c r="F125" s="5"/>
      <c r="G125" s="62">
        <f>1 -(H123+C121)/G121</f>
        <v>5.4352941176471048E-2</v>
      </c>
    </row>
    <row r="126" spans="2:9">
      <c r="B126" s="92" t="s">
        <v>253</v>
      </c>
      <c r="C126" s="101">
        <f>C125-C124</f>
        <v>11.596235294117651</v>
      </c>
      <c r="D126" s="86"/>
      <c r="E126" s="86"/>
      <c r="F126" s="86"/>
      <c r="G126" s="91"/>
      <c r="H126" s="86"/>
      <c r="I126" s="93"/>
    </row>
    <row r="127" spans="2:9">
      <c r="B127" s="11"/>
    </row>
    <row r="128" spans="2:9" ht="16" thickBot="1"/>
    <row r="129" spans="2:9">
      <c r="B129" s="1" t="s">
        <v>15</v>
      </c>
      <c r="C129" s="2"/>
      <c r="D129" s="2"/>
      <c r="E129" s="2"/>
      <c r="F129" s="2"/>
      <c r="G129" s="2"/>
      <c r="H129" s="2"/>
      <c r="I129" s="3"/>
    </row>
    <row r="130" spans="2:9" ht="42" customHeight="1">
      <c r="B130" s="136" t="s">
        <v>16</v>
      </c>
      <c r="C130" s="137"/>
      <c r="D130" s="137"/>
      <c r="E130" s="137"/>
      <c r="F130" s="137"/>
      <c r="G130" s="137"/>
      <c r="H130" s="137"/>
      <c r="I130" s="138"/>
    </row>
    <row r="131" spans="2:9">
      <c r="B131" s="4" t="s">
        <v>1</v>
      </c>
      <c r="C131" s="5"/>
      <c r="D131" s="5"/>
      <c r="E131" s="5"/>
      <c r="F131" s="5"/>
      <c r="G131" s="5"/>
      <c r="H131" s="5"/>
      <c r="I131" s="6"/>
    </row>
    <row r="132" spans="2:9">
      <c r="B132" s="7" t="s">
        <v>214</v>
      </c>
      <c r="C132" s="8"/>
      <c r="D132" s="8"/>
      <c r="E132" s="8"/>
      <c r="F132" s="77" t="s">
        <v>323</v>
      </c>
      <c r="G132" s="8" t="s">
        <v>324</v>
      </c>
      <c r="H132" s="8"/>
      <c r="I132" s="9"/>
    </row>
    <row r="133" spans="2:9">
      <c r="B133" s="7" t="s">
        <v>256</v>
      </c>
      <c r="C133" s="61">
        <f>IRR(C110:G110)</f>
        <v>0.48654595250526622</v>
      </c>
      <c r="D133" s="125"/>
      <c r="E133" s="125"/>
      <c r="F133" s="126" t="s">
        <v>325</v>
      </c>
      <c r="G133" s="128">
        <f>SUM(D120:G120)/C120*-1</f>
        <v>2.0603100881087353</v>
      </c>
      <c r="H133" s="8"/>
      <c r="I133" s="9"/>
    </row>
    <row r="134" spans="2:9">
      <c r="B134" s="10" t="s">
        <v>257</v>
      </c>
      <c r="C134" s="62">
        <f>IRR(C111:G111)</f>
        <v>0.24198910772653637</v>
      </c>
      <c r="D134" s="5"/>
      <c r="E134" s="5"/>
      <c r="F134" s="123" t="s">
        <v>326</v>
      </c>
      <c r="G134" s="97">
        <f>SUM(D121:G121)/C121*-1</f>
        <v>1.3660041436149621</v>
      </c>
      <c r="H134" s="11"/>
      <c r="I134" s="12"/>
    </row>
    <row r="135" spans="2:9">
      <c r="B135" s="102" t="s">
        <v>244</v>
      </c>
      <c r="C135" s="103" t="str">
        <f>IF(C133&gt;C134,I109,I110)</f>
        <v>A</v>
      </c>
      <c r="D135" s="105" t="s">
        <v>260</v>
      </c>
      <c r="E135" s="62">
        <f>C134-C133</f>
        <v>-0.24455684477872985</v>
      </c>
      <c r="F135" s="78"/>
      <c r="G135" s="121" t="s">
        <v>260</v>
      </c>
      <c r="H135" s="62">
        <f>G134-G133</f>
        <v>-0.69430594449377314</v>
      </c>
      <c r="I135" s="12"/>
    </row>
    <row r="136" spans="2:9" ht="16" thickBot="1">
      <c r="B136" s="13"/>
      <c r="C136" s="14"/>
      <c r="D136" s="14"/>
      <c r="E136" s="14"/>
      <c r="F136" s="124"/>
      <c r="G136" s="14"/>
      <c r="H136" s="14"/>
      <c r="I136" s="15"/>
    </row>
    <row r="138" spans="2:9" ht="16" thickBot="1"/>
    <row r="139" spans="2:9">
      <c r="B139" s="1" t="s">
        <v>17</v>
      </c>
      <c r="C139" s="2"/>
      <c r="D139" s="2"/>
      <c r="E139" s="2"/>
      <c r="F139" s="2"/>
      <c r="G139" s="2"/>
      <c r="H139" s="2"/>
      <c r="I139" s="3"/>
    </row>
    <row r="140" spans="2:9" ht="93.75" customHeight="1">
      <c r="B140" s="136" t="s">
        <v>27</v>
      </c>
      <c r="C140" s="137"/>
      <c r="D140" s="137"/>
      <c r="E140" s="137"/>
      <c r="F140" s="137"/>
      <c r="G140" s="137"/>
      <c r="H140" s="137"/>
      <c r="I140" s="138"/>
    </row>
    <row r="141" spans="2:9">
      <c r="B141" s="4" t="s">
        <v>1</v>
      </c>
      <c r="C141" s="5"/>
      <c r="D141" s="5"/>
      <c r="E141" s="5"/>
      <c r="F141" s="5"/>
      <c r="G141" s="5"/>
      <c r="H141" s="5"/>
      <c r="I141" s="6"/>
    </row>
    <row r="142" spans="2:9">
      <c r="B142" s="7" t="s">
        <v>263</v>
      </c>
      <c r="C142" s="20">
        <v>0.2</v>
      </c>
      <c r="D142" s="8"/>
      <c r="E142" s="43" t="s">
        <v>327</v>
      </c>
      <c r="F142" s="43">
        <v>5000000</v>
      </c>
      <c r="G142" s="129">
        <v>0.06</v>
      </c>
      <c r="H142" s="8"/>
      <c r="I142" s="9"/>
    </row>
    <row r="143" spans="2:9">
      <c r="B143" s="10" t="s">
        <v>262</v>
      </c>
      <c r="C143" s="11">
        <v>4734667</v>
      </c>
      <c r="D143" s="11"/>
      <c r="E143" s="72"/>
      <c r="F143" s="72">
        <v>300000</v>
      </c>
      <c r="G143" s="129">
        <v>0.04</v>
      </c>
      <c r="H143" s="11"/>
      <c r="I143" s="12"/>
    </row>
    <row r="144" spans="2:9">
      <c r="B144" s="10" t="s">
        <v>74</v>
      </c>
      <c r="C144" s="11">
        <v>5600000</v>
      </c>
      <c r="D144" s="11"/>
      <c r="E144" s="72"/>
      <c r="F144" s="72">
        <v>300000</v>
      </c>
      <c r="G144" s="129">
        <v>0</v>
      </c>
      <c r="H144" s="127"/>
      <c r="I144" s="12"/>
    </row>
    <row r="145" spans="2:9">
      <c r="B145" s="10" t="s">
        <v>264</v>
      </c>
      <c r="C145" s="67">
        <f>(F142*G142+F143*G143+F144*G144)/SUM(F142:F144)</f>
        <v>5.5714285714285716E-2</v>
      </c>
      <c r="D145" s="11"/>
      <c r="E145" s="8" t="s">
        <v>261</v>
      </c>
      <c r="F145" s="20"/>
      <c r="I145" s="12"/>
    </row>
    <row r="146" spans="2:9" ht="16" thickBot="1">
      <c r="B146" s="13" t="s">
        <v>265</v>
      </c>
      <c r="C146" s="84">
        <f>19.5%</f>
        <v>0.19500000000000001</v>
      </c>
      <c r="D146" s="14"/>
      <c r="E146" s="130" t="s">
        <v>207</v>
      </c>
      <c r="F146" s="132">
        <f>C143/(C143+C144)*C142+C144/(C143+C144)*C145*(1-C146)</f>
        <v>0.11592956018805445</v>
      </c>
      <c r="G146" s="131"/>
      <c r="H146" s="131"/>
      <c r="I146" s="15"/>
    </row>
    <row r="148" spans="2:9" ht="16" thickBot="1"/>
    <row r="149" spans="2:9">
      <c r="B149" s="1" t="s">
        <v>18</v>
      </c>
      <c r="C149" s="2"/>
      <c r="D149" s="2"/>
      <c r="E149" s="2"/>
      <c r="F149" s="2"/>
      <c r="G149" s="2"/>
      <c r="H149" s="2"/>
      <c r="I149" s="3"/>
    </row>
    <row r="150" spans="2:9" ht="100.5" customHeight="1">
      <c r="B150" s="136" t="s">
        <v>36</v>
      </c>
      <c r="C150" s="137"/>
      <c r="D150" s="137"/>
      <c r="E150" s="137"/>
      <c r="F150" s="137"/>
      <c r="G150" s="137"/>
      <c r="H150" s="137"/>
      <c r="I150" s="138"/>
    </row>
    <row r="151" spans="2:9">
      <c r="B151" s="4" t="s">
        <v>1</v>
      </c>
      <c r="C151" s="5"/>
      <c r="D151" s="5"/>
      <c r="E151" s="5"/>
      <c r="F151" s="5"/>
      <c r="G151" s="5"/>
      <c r="H151" s="5"/>
      <c r="I151" s="6"/>
    </row>
    <row r="152" spans="2:9">
      <c r="B152" s="7" t="s">
        <v>142</v>
      </c>
      <c r="C152" s="8">
        <v>15000</v>
      </c>
      <c r="D152" s="8"/>
      <c r="E152" s="8"/>
      <c r="F152" s="8"/>
      <c r="G152" s="8"/>
      <c r="H152" s="8"/>
      <c r="I152" s="9"/>
    </row>
    <row r="153" spans="2:9">
      <c r="B153" s="10" t="s">
        <v>258</v>
      </c>
      <c r="C153" s="80">
        <v>5.3</v>
      </c>
      <c r="D153" s="11"/>
      <c r="E153" s="11"/>
      <c r="F153" s="11"/>
      <c r="G153" s="11"/>
      <c r="H153" s="11"/>
      <c r="I153" s="12"/>
    </row>
    <row r="154" spans="2:9">
      <c r="B154" s="10"/>
      <c r="C154" s="11"/>
      <c r="D154" s="11"/>
      <c r="E154" s="11"/>
      <c r="F154" s="11"/>
      <c r="G154" s="11"/>
      <c r="H154" s="11"/>
      <c r="I154" s="12"/>
    </row>
    <row r="155" spans="2:9">
      <c r="B155" s="10" t="s">
        <v>259</v>
      </c>
      <c r="C155" s="11">
        <f xml:space="preserve"> C152*C153</f>
        <v>79500</v>
      </c>
      <c r="D155" s="11"/>
      <c r="E155" s="11"/>
      <c r="F155" s="11"/>
      <c r="G155" s="11"/>
      <c r="H155" s="11"/>
      <c r="I155" s="12"/>
    </row>
    <row r="156" spans="2:9" ht="16" thickBot="1">
      <c r="B156" s="13"/>
      <c r="C156" s="14"/>
      <c r="D156" s="14"/>
      <c r="E156" s="14"/>
      <c r="F156" s="14"/>
      <c r="G156" s="14"/>
      <c r="H156" s="14"/>
      <c r="I156" s="15"/>
    </row>
    <row r="158" spans="2:9" ht="16" thickBot="1"/>
    <row r="159" spans="2:9">
      <c r="B159" s="1" t="s">
        <v>19</v>
      </c>
      <c r="C159" s="2"/>
      <c r="D159" s="2"/>
      <c r="E159" s="2"/>
      <c r="F159" s="2"/>
      <c r="G159" s="2"/>
      <c r="H159" s="2"/>
      <c r="I159" s="3"/>
    </row>
    <row r="160" spans="2:9" ht="100.5" customHeight="1">
      <c r="B160" s="136" t="s">
        <v>37</v>
      </c>
      <c r="C160" s="137"/>
      <c r="D160" s="137"/>
      <c r="E160" s="137"/>
      <c r="F160" s="137"/>
      <c r="G160" s="137"/>
      <c r="H160" s="137"/>
      <c r="I160" s="138"/>
    </row>
    <row r="161" spans="2:9">
      <c r="B161" s="4" t="s">
        <v>1</v>
      </c>
      <c r="C161" s="5"/>
      <c r="D161" s="5"/>
      <c r="E161" s="5"/>
      <c r="F161" s="5"/>
      <c r="G161" s="5"/>
      <c r="H161" s="5"/>
      <c r="I161" s="6"/>
    </row>
    <row r="162" spans="2:9">
      <c r="B162" s="7"/>
      <c r="C162" s="8">
        <v>0</v>
      </c>
      <c r="D162" s="8">
        <v>1</v>
      </c>
      <c r="E162" s="8">
        <v>2</v>
      </c>
      <c r="F162" s="8">
        <v>3</v>
      </c>
      <c r="G162" s="8">
        <v>4</v>
      </c>
      <c r="H162" s="8">
        <v>5</v>
      </c>
      <c r="I162" s="9"/>
    </row>
    <row r="163" spans="2:9">
      <c r="B163" s="10" t="s">
        <v>199</v>
      </c>
      <c r="C163" s="11">
        <v>-100000</v>
      </c>
      <c r="D163" s="11"/>
      <c r="E163" s="11"/>
      <c r="F163" s="11"/>
      <c r="G163" s="11"/>
      <c r="H163" s="11"/>
      <c r="I163" s="12"/>
    </row>
    <row r="164" spans="2:9">
      <c r="B164" s="10" t="s">
        <v>266</v>
      </c>
      <c r="C164" s="11"/>
      <c r="D164" s="11">
        <v>50000</v>
      </c>
      <c r="E164" s="11">
        <v>50000</v>
      </c>
      <c r="F164" s="11">
        <v>50000</v>
      </c>
      <c r="G164" s="11">
        <v>50000</v>
      </c>
      <c r="H164" s="11">
        <v>50000</v>
      </c>
      <c r="I164" s="12"/>
    </row>
    <row r="165" spans="2:9">
      <c r="B165" s="10" t="s">
        <v>267</v>
      </c>
      <c r="C165" s="11"/>
      <c r="D165" s="11">
        <v>20000</v>
      </c>
      <c r="E165" s="11">
        <v>20000</v>
      </c>
      <c r="F165" s="11">
        <v>20000</v>
      </c>
      <c r="G165" s="11">
        <v>20000</v>
      </c>
      <c r="H165" s="11">
        <v>20000</v>
      </c>
      <c r="I165" s="12"/>
    </row>
    <row r="166" spans="2:9">
      <c r="B166" s="10" t="s">
        <v>268</v>
      </c>
      <c r="C166" s="11"/>
      <c r="D166" s="11"/>
      <c r="E166" s="11"/>
      <c r="F166" s="11"/>
      <c r="G166" s="11"/>
      <c r="H166" s="11">
        <f>(H164-H165)*2</f>
        <v>60000</v>
      </c>
      <c r="I166" s="12"/>
    </row>
    <row r="167" spans="2:9">
      <c r="B167" s="7" t="s">
        <v>269</v>
      </c>
      <c r="C167" s="61">
        <f>C163+C164-C165+C166</f>
        <v>-100000</v>
      </c>
      <c r="D167" s="61">
        <f t="shared" ref="D167:H167" si="0">D163+D164-D165+D166</f>
        <v>30000</v>
      </c>
      <c r="E167" s="61">
        <f t="shared" si="0"/>
        <v>30000</v>
      </c>
      <c r="F167" s="61">
        <f t="shared" si="0"/>
        <v>30000</v>
      </c>
      <c r="G167" s="61">
        <f t="shared" si="0"/>
        <v>30000</v>
      </c>
      <c r="H167" s="61">
        <f t="shared" si="0"/>
        <v>90000</v>
      </c>
      <c r="I167" s="12"/>
    </row>
    <row r="168" spans="2:9" ht="16" thickBot="1">
      <c r="B168" s="13" t="s">
        <v>214</v>
      </c>
      <c r="C168" s="107">
        <f>IRR(C167:H167)</f>
        <v>0.25139351731214599</v>
      </c>
      <c r="D168" s="14"/>
      <c r="E168" s="14"/>
      <c r="F168" s="14"/>
      <c r="G168" s="14"/>
      <c r="H168" s="14"/>
      <c r="I168" s="15"/>
    </row>
    <row r="170" spans="2:9" ht="16" thickBot="1"/>
    <row r="171" spans="2:9">
      <c r="B171" s="1" t="s">
        <v>20</v>
      </c>
      <c r="C171" s="2"/>
      <c r="D171" s="2"/>
      <c r="E171" s="2"/>
      <c r="F171" s="2"/>
      <c r="G171" s="2"/>
      <c r="H171" s="2"/>
      <c r="I171" s="3"/>
    </row>
    <row r="172" spans="2:9" ht="87.75" customHeight="1">
      <c r="B172" s="136" t="s">
        <v>38</v>
      </c>
      <c r="C172" s="137"/>
      <c r="D172" s="137"/>
      <c r="E172" s="137"/>
      <c r="F172" s="137"/>
      <c r="G172" s="137"/>
      <c r="H172" s="137"/>
      <c r="I172" s="138"/>
    </row>
    <row r="173" spans="2:9">
      <c r="B173" s="4" t="s">
        <v>1</v>
      </c>
      <c r="C173" s="5"/>
      <c r="D173" s="5"/>
      <c r="E173" s="5"/>
      <c r="F173" s="5"/>
      <c r="G173" s="5"/>
      <c r="H173" s="5"/>
      <c r="I173" s="6"/>
    </row>
    <row r="174" spans="2:9">
      <c r="B174" s="7" t="s">
        <v>270</v>
      </c>
      <c r="C174" s="19">
        <f>10%/12</f>
        <v>8.3333333333333332E-3</v>
      </c>
      <c r="D174" s="8"/>
      <c r="E174" s="8"/>
      <c r="F174" s="8"/>
      <c r="G174" s="8"/>
      <c r="H174" s="8"/>
      <c r="I174" s="9"/>
    </row>
    <row r="175" spans="2:9">
      <c r="B175" s="10" t="s">
        <v>271</v>
      </c>
      <c r="C175" s="11">
        <v>350</v>
      </c>
      <c r="D175" s="11"/>
      <c r="E175" s="65">
        <f>FV(C174,9,C175,0,0)</f>
        <v>-3257.067401359343</v>
      </c>
      <c r="F175" s="11"/>
      <c r="G175" s="11"/>
      <c r="H175" s="11"/>
      <c r="I175" s="12"/>
    </row>
    <row r="176" spans="2:9">
      <c r="B176" s="10" t="s">
        <v>272</v>
      </c>
      <c r="C176" s="11">
        <v>35000</v>
      </c>
      <c r="D176" s="11"/>
      <c r="F176" s="11"/>
      <c r="G176" s="11"/>
      <c r="H176" s="11"/>
      <c r="I176" s="12"/>
    </row>
    <row r="177" spans="2:9">
      <c r="B177" s="10"/>
      <c r="C177" s="11"/>
      <c r="D177" s="11"/>
      <c r="E177" s="5"/>
      <c r="F177" s="11"/>
      <c r="G177" s="11"/>
      <c r="H177" s="11"/>
      <c r="I177" s="12"/>
    </row>
    <row r="178" spans="2:9">
      <c r="B178" s="108" t="s">
        <v>273</v>
      </c>
      <c r="C178" s="55" t="s">
        <v>220</v>
      </c>
      <c r="D178" s="11"/>
      <c r="E178" s="109" t="s">
        <v>273</v>
      </c>
      <c r="F178" s="110" t="s">
        <v>220</v>
      </c>
      <c r="G178" s="11"/>
      <c r="H178" s="11"/>
      <c r="I178" s="12"/>
    </row>
    <row r="179" spans="2:9">
      <c r="B179" s="10">
        <v>1</v>
      </c>
      <c r="C179" s="62">
        <f>FV(C$174,B179,C$175*-1)</f>
        <v>349.99999999999875</v>
      </c>
      <c r="D179" s="11"/>
      <c r="E179" s="11">
        <v>71</v>
      </c>
      <c r="F179" s="62">
        <f>FV(C$174,E179,C$175*-1)</f>
        <v>33708.059275605163</v>
      </c>
      <c r="G179" s="11"/>
      <c r="H179" s="11"/>
      <c r="I179" s="12"/>
    </row>
    <row r="180" spans="2:9">
      <c r="B180" s="10">
        <v>6</v>
      </c>
      <c r="C180" s="62">
        <f t="shared" ref="C180:C190" si="1">FV(C$174,B180,C$175*-1)</f>
        <v>2144.2391594469273</v>
      </c>
      <c r="D180" s="11"/>
      <c r="E180" s="11">
        <v>72</v>
      </c>
      <c r="F180" s="62">
        <f t="shared" ref="F180:F184" si="2">FV(C$174,E180,C$175*-1)</f>
        <v>34338.959769568552</v>
      </c>
      <c r="G180" s="11"/>
      <c r="H180" s="11"/>
      <c r="I180" s="12"/>
    </row>
    <row r="181" spans="2:9">
      <c r="B181" s="10">
        <v>11</v>
      </c>
      <c r="C181" s="62">
        <f t="shared" si="1"/>
        <v>4014.4947099515334</v>
      </c>
      <c r="D181" s="11"/>
      <c r="E181" s="11">
        <v>73</v>
      </c>
      <c r="F181" s="62">
        <f t="shared" si="2"/>
        <v>34975.117767648277</v>
      </c>
      <c r="G181" s="11"/>
      <c r="H181" s="11"/>
      <c r="I181" s="12"/>
    </row>
    <row r="182" spans="2:9">
      <c r="B182" s="10">
        <v>16</v>
      </c>
      <c r="C182" s="62">
        <f t="shared" si="1"/>
        <v>5963.9872320473696</v>
      </c>
      <c r="D182" s="11"/>
      <c r="E182" s="103">
        <v>74</v>
      </c>
      <c r="F182" s="63">
        <f t="shared" si="2"/>
        <v>35616.577082378688</v>
      </c>
      <c r="G182" s="103" t="s">
        <v>275</v>
      </c>
      <c r="H182" s="11"/>
      <c r="I182" s="12"/>
    </row>
    <row r="183" spans="2:9">
      <c r="B183" s="10">
        <v>21</v>
      </c>
      <c r="C183" s="62">
        <f t="shared" si="1"/>
        <v>7996.0737523531907</v>
      </c>
      <c r="D183" s="11"/>
      <c r="E183" s="11">
        <v>75</v>
      </c>
      <c r="F183" s="62">
        <f t="shared" si="2"/>
        <v>36263.381891398494</v>
      </c>
      <c r="G183" s="11"/>
      <c r="H183" s="11"/>
      <c r="I183" s="12"/>
    </row>
    <row r="184" spans="2:9">
      <c r="B184" s="10">
        <v>26</v>
      </c>
      <c r="C184" s="62">
        <f t="shared" si="1"/>
        <v>10114.253524373711</v>
      </c>
      <c r="D184" s="11"/>
      <c r="E184" s="11">
        <v>76</v>
      </c>
      <c r="F184" s="62">
        <f t="shared" si="2"/>
        <v>36915.576740493496</v>
      </c>
      <c r="G184" s="11"/>
      <c r="H184" s="11"/>
      <c r="I184" s="12"/>
    </row>
    <row r="185" spans="2:9">
      <c r="B185" s="10">
        <v>31</v>
      </c>
      <c r="C185" s="62">
        <f t="shared" si="1"/>
        <v>12322.174054214947</v>
      </c>
      <c r="D185" s="11"/>
      <c r="E185" s="11"/>
      <c r="F185" s="11"/>
      <c r="G185" s="11"/>
      <c r="H185" s="11"/>
      <c r="I185" s="12"/>
    </row>
    <row r="186" spans="2:9">
      <c r="B186" s="10">
        <v>36</v>
      </c>
      <c r="C186" s="62">
        <f t="shared" si="1"/>
        <v>14623.637381590725</v>
      </c>
      <c r="D186" s="11"/>
      <c r="E186" s="11"/>
      <c r="F186" s="11"/>
      <c r="G186" s="11"/>
      <c r="H186" s="11"/>
      <c r="I186" s="12"/>
    </row>
    <row r="187" spans="2:9">
      <c r="B187" s="10">
        <v>41</v>
      </c>
      <c r="C187" s="62">
        <f t="shared" si="1"/>
        <v>17022.606626936016</v>
      </c>
      <c r="D187" s="11"/>
      <c r="F187" s="11"/>
      <c r="G187" s="11"/>
      <c r="H187" s="11"/>
      <c r="I187" s="12"/>
    </row>
    <row r="188" spans="2:9">
      <c r="B188" s="10">
        <v>46</v>
      </c>
      <c r="C188" s="62">
        <f t="shared" si="1"/>
        <v>19523.212815901319</v>
      </c>
      <c r="D188" s="11"/>
      <c r="F188" s="11"/>
      <c r="G188" s="11"/>
      <c r="H188" s="11"/>
      <c r="I188" s="12"/>
    </row>
    <row r="189" spans="2:9">
      <c r="B189" s="10">
        <v>51</v>
      </c>
      <c r="C189" s="62">
        <f t="shared" si="1"/>
        <v>22129.761992979893</v>
      </c>
      <c r="D189" s="11"/>
      <c r="F189" s="11"/>
      <c r="G189" s="11"/>
      <c r="H189" s="11"/>
      <c r="I189" s="12"/>
    </row>
    <row r="190" spans="2:9">
      <c r="B190" s="10">
        <v>56</v>
      </c>
      <c r="C190" s="62">
        <f t="shared" si="1"/>
        <v>24846.742636517443</v>
      </c>
      <c r="D190" s="11"/>
      <c r="F190" s="11"/>
      <c r="G190" s="11"/>
      <c r="H190" s="11"/>
      <c r="I190" s="12"/>
    </row>
    <row r="191" spans="2:9">
      <c r="B191" s="10">
        <v>61</v>
      </c>
      <c r="C191" s="62">
        <f>FV(C$174,B191,C$175*-1)</f>
        <v>27678.833387873052</v>
      </c>
      <c r="D191" s="11"/>
      <c r="F191" s="11"/>
      <c r="G191" s="11"/>
      <c r="H191" s="11"/>
      <c r="I191" s="12"/>
    </row>
    <row r="192" spans="2:9">
      <c r="B192" s="10">
        <v>66</v>
      </c>
      <c r="C192" s="62">
        <f>FV(C$174,B192,C$175*-1)</f>
        <v>30630.911108040706</v>
      </c>
      <c r="D192" s="11"/>
      <c r="F192" s="11"/>
      <c r="G192" s="11"/>
      <c r="H192" s="11"/>
      <c r="I192" s="12"/>
    </row>
    <row r="193" spans="2:22">
      <c r="B193" s="10">
        <v>71</v>
      </c>
      <c r="C193" s="62">
        <f t="shared" ref="C193:C194" si="3">FV(C$174,B193,C$175*-1)</f>
        <v>33708.059275605163</v>
      </c>
      <c r="D193" s="11" t="s">
        <v>274</v>
      </c>
      <c r="F193" s="11"/>
      <c r="G193" s="11"/>
      <c r="H193" s="11"/>
      <c r="I193" s="12"/>
    </row>
    <row r="194" spans="2:22">
      <c r="B194" s="10">
        <v>76</v>
      </c>
      <c r="C194" s="62">
        <f t="shared" si="3"/>
        <v>36915.576740493496</v>
      </c>
      <c r="D194" s="11"/>
      <c r="E194" s="11"/>
      <c r="F194" s="11"/>
      <c r="G194" s="11"/>
      <c r="H194" s="11"/>
      <c r="I194" s="12"/>
    </row>
    <row r="195" spans="2:22" ht="16" thickBot="1">
      <c r="B195" s="13"/>
      <c r="C195" s="14"/>
      <c r="D195" s="14"/>
      <c r="E195" s="14"/>
      <c r="F195" s="14"/>
      <c r="G195" s="14"/>
      <c r="H195" s="14"/>
      <c r="I195" s="15"/>
    </row>
    <row r="197" spans="2:22" ht="16" thickBot="1"/>
    <row r="198" spans="2:22">
      <c r="B198" s="1" t="s">
        <v>21</v>
      </c>
      <c r="C198" s="2"/>
      <c r="D198" s="2"/>
      <c r="E198" s="2"/>
      <c r="F198" s="2"/>
      <c r="G198" s="2"/>
      <c r="H198" s="2"/>
      <c r="I198" s="3"/>
    </row>
    <row r="199" spans="2:22" ht="69" customHeight="1">
      <c r="B199" s="136" t="s">
        <v>39</v>
      </c>
      <c r="C199" s="137"/>
      <c r="D199" s="137"/>
      <c r="E199" s="137"/>
      <c r="F199" s="137"/>
      <c r="G199" s="137"/>
      <c r="H199" s="137"/>
      <c r="I199" s="138"/>
    </row>
    <row r="200" spans="2:22">
      <c r="B200" s="4" t="s">
        <v>1</v>
      </c>
      <c r="C200" s="5"/>
      <c r="D200" s="5"/>
      <c r="E200" s="5"/>
      <c r="F200" s="5"/>
      <c r="G200" s="5"/>
      <c r="H200" s="5"/>
      <c r="I200" s="6"/>
    </row>
    <row r="201" spans="2:22">
      <c r="B201" s="7" t="s">
        <v>270</v>
      </c>
      <c r="C201" s="20">
        <v>0.06</v>
      </c>
      <c r="D201" s="8"/>
      <c r="E201" s="8" t="s">
        <v>276</v>
      </c>
      <c r="F201" s="8">
        <v>5</v>
      </c>
      <c r="G201" s="8"/>
      <c r="H201" s="8"/>
      <c r="I201" s="11"/>
    </row>
    <row r="202" spans="2:22">
      <c r="B202" s="78" t="s">
        <v>277</v>
      </c>
      <c r="C202" s="11">
        <v>1</v>
      </c>
      <c r="D202" s="80">
        <v>2</v>
      </c>
      <c r="E202" s="11">
        <v>3</v>
      </c>
      <c r="F202" s="80">
        <v>4</v>
      </c>
      <c r="G202" s="11">
        <v>5</v>
      </c>
      <c r="H202" s="80">
        <v>6</v>
      </c>
      <c r="I202" s="11">
        <v>7</v>
      </c>
      <c r="J202" s="80">
        <v>8</v>
      </c>
      <c r="K202" s="11">
        <v>9</v>
      </c>
      <c r="L202" s="80">
        <v>10</v>
      </c>
      <c r="M202" s="11">
        <v>11</v>
      </c>
      <c r="N202" s="80">
        <v>12</v>
      </c>
      <c r="O202" s="11">
        <v>13</v>
      </c>
      <c r="P202" s="80">
        <v>14</v>
      </c>
      <c r="Q202" s="11">
        <v>15</v>
      </c>
      <c r="R202" s="80">
        <v>16</v>
      </c>
      <c r="S202" s="11">
        <v>17</v>
      </c>
      <c r="T202" s="80">
        <v>18</v>
      </c>
      <c r="U202" s="11">
        <v>19</v>
      </c>
      <c r="V202" s="80">
        <v>20</v>
      </c>
    </row>
    <row r="203" spans="2:22">
      <c r="B203" s="78" t="s">
        <v>205</v>
      </c>
      <c r="C203" s="11">
        <v>5000</v>
      </c>
      <c r="D203" s="11">
        <v>5000</v>
      </c>
      <c r="E203" s="11">
        <v>5000</v>
      </c>
      <c r="F203" s="11">
        <v>5000</v>
      </c>
      <c r="G203" s="11">
        <v>5000</v>
      </c>
      <c r="H203" s="11">
        <v>5000</v>
      </c>
      <c r="I203" s="11">
        <v>5000</v>
      </c>
      <c r="J203" s="11">
        <v>5000</v>
      </c>
      <c r="K203" s="11">
        <v>5000</v>
      </c>
      <c r="L203" s="11">
        <v>5000</v>
      </c>
      <c r="M203" s="11">
        <v>5000</v>
      </c>
      <c r="N203" s="11">
        <v>5000</v>
      </c>
      <c r="O203" s="11">
        <v>5000</v>
      </c>
      <c r="P203" s="11">
        <v>5000</v>
      </c>
      <c r="Q203" s="11">
        <v>5000</v>
      </c>
      <c r="R203" s="11">
        <v>5000</v>
      </c>
      <c r="S203" s="11">
        <v>5000</v>
      </c>
      <c r="T203" s="11">
        <v>5000</v>
      </c>
      <c r="U203" s="11">
        <v>5000</v>
      </c>
      <c r="V203" s="11">
        <v>5000</v>
      </c>
    </row>
    <row r="204" spans="2:22">
      <c r="B204" s="10" t="s">
        <v>208</v>
      </c>
      <c r="C204" s="62">
        <f>PV($C201,C202+$F201,0,C203)*-1</f>
        <v>3524.8027021983812</v>
      </c>
      <c r="D204" s="62">
        <f t="shared" ref="D204:V204" si="4">PV($C201,D202+$F201,0,D203)*-1</f>
        <v>3325.2855681116803</v>
      </c>
      <c r="E204" s="62">
        <f t="shared" si="4"/>
        <v>3137.0618567091324</v>
      </c>
      <c r="F204" s="62">
        <f t="shared" si="4"/>
        <v>2959.4923176501252</v>
      </c>
      <c r="G204" s="62">
        <f t="shared" si="4"/>
        <v>2791.9738845755892</v>
      </c>
      <c r="H204" s="62">
        <f t="shared" si="4"/>
        <v>2633.9376269581026</v>
      </c>
      <c r="I204" s="62">
        <f>PV($C201,I202+$F201,0,I203)*-1</f>
        <v>2484.8468178850026</v>
      </c>
      <c r="J204" s="62">
        <f t="shared" si="4"/>
        <v>2344.1951112122661</v>
      </c>
      <c r="K204" s="62">
        <f t="shared" si="4"/>
        <v>2211.5048218983643</v>
      </c>
      <c r="L204" s="62">
        <f t="shared" si="4"/>
        <v>2086.3253036777019</v>
      </c>
      <c r="M204" s="62">
        <f t="shared" si="4"/>
        <v>1968.2314185638702</v>
      </c>
      <c r="N204" s="62">
        <f t="shared" si="4"/>
        <v>1856.822092984783</v>
      </c>
      <c r="O204" s="62">
        <f t="shared" si="4"/>
        <v>1751.7189556460216</v>
      </c>
      <c r="P204" s="62">
        <f t="shared" si="4"/>
        <v>1652.5650524962466</v>
      </c>
      <c r="Q204" s="62">
        <f t="shared" si="4"/>
        <v>1559.0236344304215</v>
      </c>
      <c r="R204" s="62">
        <f t="shared" si="4"/>
        <v>1470.7770136136048</v>
      </c>
      <c r="S204" s="62">
        <f t="shared" si="4"/>
        <v>1387.5254845411366</v>
      </c>
      <c r="T204" s="62">
        <f t="shared" si="4"/>
        <v>1308.9863061708834</v>
      </c>
      <c r="U204" s="62">
        <f t="shared" si="4"/>
        <v>1234.8927416706449</v>
      </c>
      <c r="V204" s="62">
        <f t="shared" si="4"/>
        <v>1164.9931525194763</v>
      </c>
    </row>
    <row r="205" spans="2:22" ht="16" thickBot="1">
      <c r="B205" s="111">
        <f xml:space="preserve"> SUM(C204:V204)</f>
        <v>42854.961863513432</v>
      </c>
      <c r="C205" s="14" t="s">
        <v>403</v>
      </c>
      <c r="D205" s="14"/>
      <c r="E205" s="14"/>
      <c r="F205" s="14"/>
      <c r="G205" s="14"/>
      <c r="H205" s="14"/>
      <c r="I205" s="11"/>
    </row>
    <row r="207" spans="2:22" ht="16" thickBot="1"/>
    <row r="208" spans="2:22">
      <c r="B208" s="1" t="s">
        <v>22</v>
      </c>
      <c r="C208" s="2"/>
      <c r="D208" s="2"/>
      <c r="E208" s="2"/>
      <c r="F208" s="2"/>
      <c r="G208" s="2"/>
      <c r="H208" s="2"/>
      <c r="I208" s="3"/>
    </row>
    <row r="209" spans="2:9" ht="81" customHeight="1">
      <c r="B209" s="136" t="s">
        <v>23</v>
      </c>
      <c r="C209" s="137"/>
      <c r="D209" s="137"/>
      <c r="E209" s="137"/>
      <c r="F209" s="137"/>
      <c r="G209" s="137"/>
      <c r="H209" s="137"/>
      <c r="I209" s="138"/>
    </row>
    <row r="210" spans="2:9">
      <c r="B210" s="4" t="s">
        <v>1</v>
      </c>
      <c r="C210" s="5"/>
      <c r="D210" s="5"/>
      <c r="E210" s="5"/>
      <c r="F210" s="5"/>
      <c r="G210" s="5"/>
      <c r="H210" s="5"/>
      <c r="I210" s="6"/>
    </row>
    <row r="211" spans="2:9">
      <c r="B211" s="10"/>
      <c r="C211" s="8"/>
      <c r="D211" s="8"/>
      <c r="E211" s="8"/>
      <c r="F211" s="8"/>
      <c r="G211" s="8"/>
      <c r="H211" s="8"/>
      <c r="I211" s="9"/>
    </row>
    <row r="212" spans="2:9">
      <c r="B212" s="112" t="s">
        <v>278</v>
      </c>
      <c r="C212" s="11"/>
      <c r="D212" s="11"/>
      <c r="E212" s="11"/>
      <c r="F212" s="11"/>
      <c r="G212" s="11"/>
      <c r="H212" s="11"/>
      <c r="I212" s="12"/>
    </row>
    <row r="213" spans="2:9">
      <c r="B213" s="10" t="s">
        <v>279</v>
      </c>
      <c r="C213" s="11"/>
      <c r="D213" s="11"/>
      <c r="E213" s="11"/>
      <c r="F213" s="11"/>
      <c r="G213" s="11"/>
      <c r="H213" s="11"/>
      <c r="I213" s="12"/>
    </row>
    <row r="214" spans="2:9">
      <c r="B214" s="10" t="s">
        <v>280</v>
      </c>
      <c r="C214" s="11"/>
      <c r="D214" s="11"/>
      <c r="E214" s="11"/>
      <c r="F214" s="11"/>
      <c r="G214" s="11"/>
      <c r="H214" s="11"/>
      <c r="I214" s="12"/>
    </row>
    <row r="215" spans="2:9">
      <c r="B215" s="113" t="s">
        <v>281</v>
      </c>
      <c r="C215" s="11"/>
      <c r="D215" s="11"/>
      <c r="E215" s="11"/>
      <c r="F215" s="11"/>
      <c r="G215" s="11"/>
      <c r="H215" s="11"/>
      <c r="I215" s="12"/>
    </row>
    <row r="216" spans="2:9" ht="16" thickBot="1">
      <c r="B216" s="13" t="s">
        <v>282</v>
      </c>
      <c r="C216" s="14"/>
      <c r="D216" s="14"/>
      <c r="E216" s="14"/>
      <c r="F216" s="14"/>
      <c r="G216" s="14"/>
      <c r="H216" s="14"/>
      <c r="I216" s="15"/>
    </row>
    <row r="218" spans="2:9" ht="16" thickBot="1"/>
    <row r="219" spans="2:9">
      <c r="B219" s="1" t="s">
        <v>24</v>
      </c>
      <c r="C219" s="2"/>
      <c r="D219" s="2"/>
      <c r="E219" s="2"/>
      <c r="F219" s="2"/>
      <c r="G219" s="2"/>
      <c r="H219" s="2"/>
      <c r="I219" s="3"/>
    </row>
    <row r="220" spans="2:9" ht="50.25" customHeight="1">
      <c r="B220" s="136" t="s">
        <v>25</v>
      </c>
      <c r="C220" s="137"/>
      <c r="D220" s="137"/>
      <c r="E220" s="137"/>
      <c r="F220" s="137"/>
      <c r="G220" s="137"/>
      <c r="H220" s="137"/>
      <c r="I220" s="138"/>
    </row>
    <row r="221" spans="2:9">
      <c r="B221" s="4" t="s">
        <v>1</v>
      </c>
      <c r="C221" s="5"/>
      <c r="D221" s="5"/>
      <c r="E221" s="5"/>
      <c r="F221" s="5"/>
      <c r="G221" s="5"/>
      <c r="H221" s="5"/>
      <c r="I221" s="6"/>
    </row>
    <row r="222" spans="2:9">
      <c r="B222" s="10"/>
      <c r="C222" s="8"/>
      <c r="D222" s="8"/>
      <c r="E222" s="8"/>
      <c r="F222" s="8"/>
      <c r="G222" s="8"/>
      <c r="H222" s="8"/>
      <c r="I222" s="9"/>
    </row>
    <row r="223" spans="2:9">
      <c r="B223" s="10" t="s">
        <v>283</v>
      </c>
      <c r="C223" s="11" t="s">
        <v>284</v>
      </c>
      <c r="D223" s="11"/>
      <c r="E223" s="11"/>
      <c r="F223" s="11"/>
      <c r="G223" s="11"/>
      <c r="H223" s="11"/>
      <c r="I223" s="12"/>
    </row>
    <row r="224" spans="2:9">
      <c r="B224" s="10" t="s">
        <v>285</v>
      </c>
      <c r="C224" s="11" t="s">
        <v>286</v>
      </c>
      <c r="D224" s="11"/>
      <c r="E224" s="11"/>
      <c r="F224" s="11"/>
      <c r="G224" s="11"/>
      <c r="H224" s="11"/>
      <c r="I224" s="12"/>
    </row>
    <row r="225" spans="2:9">
      <c r="B225" s="10"/>
      <c r="D225" s="11"/>
      <c r="E225" s="11"/>
      <c r="F225" s="11"/>
      <c r="G225" s="11"/>
      <c r="H225" s="11"/>
      <c r="I225" s="12"/>
    </row>
    <row r="226" spans="2:9" ht="16" thickBot="1">
      <c r="B226" s="13"/>
      <c r="C226" s="14"/>
      <c r="D226" s="14"/>
      <c r="E226" s="14"/>
      <c r="F226" s="14"/>
      <c r="G226" s="14"/>
      <c r="H226" s="14"/>
      <c r="I226" s="15"/>
    </row>
  </sheetData>
  <mergeCells count="20">
    <mergeCell ref="B220:I220"/>
    <mergeCell ref="B55:I55"/>
    <mergeCell ref="B160:I160"/>
    <mergeCell ref="B172:I172"/>
    <mergeCell ref="B199:I199"/>
    <mergeCell ref="B209:I209"/>
    <mergeCell ref="B97:I97"/>
    <mergeCell ref="B87:I87"/>
    <mergeCell ref="B77:I77"/>
    <mergeCell ref="B67:I67"/>
    <mergeCell ref="B150:I150"/>
    <mergeCell ref="B140:I140"/>
    <mergeCell ref="B130:I130"/>
    <mergeCell ref="B117:I117"/>
    <mergeCell ref="B107:I107"/>
    <mergeCell ref="B5:I5"/>
    <mergeCell ref="B15:I15"/>
    <mergeCell ref="B25:I25"/>
    <mergeCell ref="B35:I35"/>
    <mergeCell ref="B45:I45"/>
  </mergeCells>
  <pageMargins left="0.7" right="0.7" top="0.75" bottom="0.75" header="0.3" footer="0.3"/>
  <pageSetup orientation="portrait" r:id="rId1"/>
  <ignoredErrors>
    <ignoredError sqref="E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249977111117893"/>
  </sheetPr>
  <dimension ref="B1:W69"/>
  <sheetViews>
    <sheetView showGridLines="0" zoomScale="75" workbookViewId="0">
      <selection activeCell="Y56" sqref="Y56"/>
    </sheetView>
  </sheetViews>
  <sheetFormatPr baseColWidth="10" defaultColWidth="8.83203125" defaultRowHeight="15"/>
  <cols>
    <col min="3" max="3" width="26.1640625" customWidth="1"/>
    <col min="4" max="4" width="13.83203125" bestFit="1" customWidth="1"/>
    <col min="5" max="5" width="13.5" bestFit="1" customWidth="1"/>
    <col min="6" max="6" width="9.83203125" bestFit="1" customWidth="1"/>
    <col min="7" max="7" width="9.1640625" bestFit="1" customWidth="1"/>
    <col min="8" max="8" width="9.6640625" bestFit="1" customWidth="1"/>
    <col min="9" max="9" width="9.83203125" bestFit="1" customWidth="1"/>
    <col min="19" max="19" width="9.1640625" bestFit="1" customWidth="1"/>
  </cols>
  <sheetData>
    <row r="1" spans="2:23">
      <c r="B1" s="27" t="s">
        <v>174</v>
      </c>
    </row>
    <row r="2" spans="2:23">
      <c r="B2" t="s">
        <v>173</v>
      </c>
      <c r="P2" s="114" t="s">
        <v>291</v>
      </c>
      <c r="Q2" s="114"/>
      <c r="R2" s="114"/>
      <c r="S2" s="114"/>
      <c r="T2" s="114"/>
      <c r="U2" s="114"/>
      <c r="V2" s="114"/>
      <c r="W2" s="114"/>
    </row>
    <row r="3" spans="2:23">
      <c r="B3" t="s">
        <v>172</v>
      </c>
      <c r="Q3" t="s">
        <v>288</v>
      </c>
      <c r="R3">
        <v>1</v>
      </c>
      <c r="S3">
        <v>2</v>
      </c>
      <c r="T3">
        <v>3</v>
      </c>
      <c r="U3">
        <v>4</v>
      </c>
      <c r="V3">
        <v>5</v>
      </c>
    </row>
    <row r="4" spans="2:23">
      <c r="B4" t="s">
        <v>171</v>
      </c>
      <c r="Q4" t="s">
        <v>287</v>
      </c>
      <c r="R4">
        <v>2000</v>
      </c>
      <c r="S4">
        <f>R4*150%</f>
        <v>3000</v>
      </c>
      <c r="T4">
        <f>S4*140%</f>
        <v>4200</v>
      </c>
      <c r="U4">
        <f>T4*130%</f>
        <v>5460</v>
      </c>
      <c r="V4">
        <f>U4*115%</f>
        <v>6278.9999999999991</v>
      </c>
    </row>
    <row r="5" spans="2:23">
      <c r="B5" t="s">
        <v>170</v>
      </c>
      <c r="Q5" t="s">
        <v>289</v>
      </c>
      <c r="R5">
        <v>20</v>
      </c>
      <c r="S5">
        <f t="shared" ref="S5:V6" si="0">R5*110%</f>
        <v>22</v>
      </c>
      <c r="T5">
        <f t="shared" si="0"/>
        <v>24.200000000000003</v>
      </c>
      <c r="U5">
        <f t="shared" si="0"/>
        <v>26.620000000000005</v>
      </c>
      <c r="V5">
        <f t="shared" si="0"/>
        <v>29.282000000000007</v>
      </c>
    </row>
    <row r="6" spans="2:23">
      <c r="B6" t="s">
        <v>169</v>
      </c>
      <c r="Q6" t="s">
        <v>290</v>
      </c>
      <c r="R6">
        <v>10</v>
      </c>
      <c r="S6">
        <f t="shared" si="0"/>
        <v>11</v>
      </c>
      <c r="T6">
        <f t="shared" si="0"/>
        <v>12.100000000000001</v>
      </c>
      <c r="U6">
        <f t="shared" si="0"/>
        <v>13.310000000000002</v>
      </c>
      <c r="V6">
        <f t="shared" si="0"/>
        <v>14.641000000000004</v>
      </c>
    </row>
    <row r="7" spans="2:23">
      <c r="B7" t="s">
        <v>168</v>
      </c>
    </row>
    <row r="8" spans="2:23">
      <c r="B8" t="s">
        <v>167</v>
      </c>
      <c r="P8" s="114" t="s">
        <v>143</v>
      </c>
      <c r="Q8" s="114"/>
      <c r="R8" s="114"/>
      <c r="S8" s="114"/>
      <c r="T8" s="114"/>
      <c r="U8" s="114"/>
      <c r="V8" s="114"/>
      <c r="W8" s="114"/>
    </row>
    <row r="9" spans="2:23">
      <c r="B9" t="s">
        <v>166</v>
      </c>
    </row>
    <row r="10" spans="2:23">
      <c r="B10" t="s">
        <v>165</v>
      </c>
      <c r="Q10" t="s">
        <v>292</v>
      </c>
      <c r="R10">
        <v>1</v>
      </c>
      <c r="S10">
        <v>2</v>
      </c>
      <c r="T10">
        <v>3</v>
      </c>
      <c r="U10">
        <v>4</v>
      </c>
      <c r="V10">
        <v>4</v>
      </c>
    </row>
    <row r="11" spans="2:23">
      <c r="B11" t="s">
        <v>164</v>
      </c>
      <c r="Q11" t="s">
        <v>293</v>
      </c>
      <c r="R11">
        <v>3200</v>
      </c>
      <c r="S11">
        <f>R11*110%</f>
        <v>3520.0000000000005</v>
      </c>
      <c r="T11">
        <f t="shared" ref="T11:V11" si="1">S11*110%</f>
        <v>3872.0000000000009</v>
      </c>
      <c r="U11">
        <f t="shared" si="1"/>
        <v>4259.2000000000016</v>
      </c>
      <c r="V11">
        <f t="shared" si="1"/>
        <v>4685.1200000000026</v>
      </c>
    </row>
    <row r="12" spans="2:23">
      <c r="B12" t="s">
        <v>163</v>
      </c>
      <c r="Q12" t="s">
        <v>294</v>
      </c>
      <c r="R12">
        <v>7000</v>
      </c>
      <c r="S12">
        <v>7000</v>
      </c>
      <c r="T12">
        <v>7000</v>
      </c>
      <c r="U12">
        <v>7000</v>
      </c>
      <c r="V12">
        <v>7000</v>
      </c>
    </row>
    <row r="13" spans="2:23">
      <c r="B13" t="s">
        <v>162</v>
      </c>
      <c r="Q13" t="s">
        <v>295</v>
      </c>
      <c r="R13">
        <f>R10*(R11*2 + R12)*12</f>
        <v>160800</v>
      </c>
      <c r="S13">
        <f t="shared" ref="S13:V13" si="2">S10*(S11*2 + S12)*12</f>
        <v>336960</v>
      </c>
      <c r="T13">
        <f t="shared" si="2"/>
        <v>530784.00000000012</v>
      </c>
      <c r="U13">
        <f t="shared" si="2"/>
        <v>744883.20000000019</v>
      </c>
      <c r="V13">
        <f t="shared" si="2"/>
        <v>785771.52000000025</v>
      </c>
    </row>
    <row r="14" spans="2:23">
      <c r="B14" t="s">
        <v>161</v>
      </c>
    </row>
    <row r="15" spans="2:23">
      <c r="B15" t="s">
        <v>160</v>
      </c>
      <c r="P15" s="114" t="s">
        <v>296</v>
      </c>
      <c r="Q15" s="114"/>
      <c r="R15" s="114"/>
      <c r="S15" s="114"/>
      <c r="T15" s="114"/>
      <c r="U15" s="114"/>
      <c r="V15" s="114"/>
      <c r="W15" s="114"/>
    </row>
    <row r="16" spans="2:23">
      <c r="B16" t="s">
        <v>159</v>
      </c>
    </row>
    <row r="17" spans="2:23">
      <c r="B17" t="s">
        <v>158</v>
      </c>
      <c r="Q17" t="s">
        <v>297</v>
      </c>
      <c r="S17">
        <v>150000</v>
      </c>
    </row>
    <row r="18" spans="2:23">
      <c r="B18" t="s">
        <v>157</v>
      </c>
      <c r="Q18" t="s">
        <v>298</v>
      </c>
      <c r="S18">
        <v>50000</v>
      </c>
    </row>
    <row r="19" spans="2:23">
      <c r="B19" t="s">
        <v>156</v>
      </c>
      <c r="Q19" t="s">
        <v>299</v>
      </c>
      <c r="S19">
        <f>(S17-S18)/5</f>
        <v>20000</v>
      </c>
    </row>
    <row r="21" spans="2:23">
      <c r="B21" s="27" t="s">
        <v>155</v>
      </c>
      <c r="P21" s="114" t="s">
        <v>300</v>
      </c>
      <c r="Q21" s="114"/>
      <c r="R21" s="114"/>
      <c r="S21" s="114"/>
      <c r="T21" s="114"/>
      <c r="U21" s="114"/>
      <c r="V21" s="114"/>
      <c r="W21" s="114"/>
    </row>
    <row r="22" spans="2:23">
      <c r="B22" t="s">
        <v>154</v>
      </c>
    </row>
    <row r="23" spans="2:23">
      <c r="B23" t="s">
        <v>153</v>
      </c>
      <c r="P23" t="s">
        <v>301</v>
      </c>
      <c r="Q23">
        <v>120000</v>
      </c>
    </row>
    <row r="24" spans="2:23">
      <c r="B24" t="s">
        <v>152</v>
      </c>
      <c r="P24" t="s">
        <v>302</v>
      </c>
      <c r="Q24" s="21">
        <v>0.08</v>
      </c>
    </row>
    <row r="25" spans="2:23">
      <c r="B25" t="s">
        <v>151</v>
      </c>
      <c r="P25" t="s">
        <v>303</v>
      </c>
      <c r="Q25">
        <f>Q23*Q24</f>
        <v>9600</v>
      </c>
    </row>
    <row r="26" spans="2:23">
      <c r="B26" t="s">
        <v>150</v>
      </c>
    </row>
    <row r="28" spans="2:23">
      <c r="B28" s="27" t="s">
        <v>149</v>
      </c>
      <c r="P28" s="114" t="s">
        <v>304</v>
      </c>
      <c r="Q28" s="114"/>
      <c r="R28" s="114"/>
      <c r="S28" s="114"/>
      <c r="T28" s="114"/>
      <c r="U28" s="114"/>
      <c r="V28" s="114"/>
      <c r="W28" s="114"/>
    </row>
    <row r="29" spans="2:23">
      <c r="B29" s="48" t="s">
        <v>148</v>
      </c>
      <c r="C29" t="s">
        <v>147</v>
      </c>
      <c r="D29" s="115">
        <f>T35</f>
        <v>0.10880000000000001</v>
      </c>
    </row>
    <row r="30" spans="2:23">
      <c r="P30" t="s">
        <v>307</v>
      </c>
      <c r="S30">
        <v>80000</v>
      </c>
    </row>
    <row r="31" spans="2:23">
      <c r="B31" s="48" t="s">
        <v>146</v>
      </c>
      <c r="D31" s="49">
        <v>0</v>
      </c>
      <c r="E31" s="49">
        <v>1</v>
      </c>
      <c r="F31" s="49">
        <v>2</v>
      </c>
      <c r="G31" s="49">
        <v>3</v>
      </c>
      <c r="H31" s="49">
        <v>4</v>
      </c>
      <c r="I31" s="49">
        <v>5</v>
      </c>
      <c r="P31" t="s">
        <v>308</v>
      </c>
      <c r="S31">
        <v>120000</v>
      </c>
    </row>
    <row r="32" spans="2:23">
      <c r="C32" t="s">
        <v>145</v>
      </c>
      <c r="E32" s="34">
        <f>R5*R4*12</f>
        <v>480000</v>
      </c>
      <c r="F32" s="34">
        <f t="shared" ref="F32:I32" si="3">S5*S4*12</f>
        <v>792000</v>
      </c>
      <c r="G32" s="34">
        <f t="shared" si="3"/>
        <v>1219680.0000000002</v>
      </c>
      <c r="H32" s="34">
        <f t="shared" si="3"/>
        <v>1744142.4000000001</v>
      </c>
      <c r="I32" s="34">
        <f t="shared" si="3"/>
        <v>2206340.1359999999</v>
      </c>
      <c r="P32" t="s">
        <v>263</v>
      </c>
      <c r="S32" s="21">
        <v>0.2</v>
      </c>
    </row>
    <row r="33" spans="2:23">
      <c r="C33" t="s">
        <v>144</v>
      </c>
      <c r="E33" s="34">
        <f>R4*R6*12</f>
        <v>240000</v>
      </c>
      <c r="F33" s="34">
        <f t="shared" ref="F33:I33" si="4">S4*S6*12</f>
        <v>396000</v>
      </c>
      <c r="G33" s="34">
        <f t="shared" si="4"/>
        <v>609840.00000000012</v>
      </c>
      <c r="H33" s="34">
        <f t="shared" si="4"/>
        <v>872071.20000000007</v>
      </c>
      <c r="I33" s="34">
        <f t="shared" si="4"/>
        <v>1103170.068</v>
      </c>
      <c r="P33" t="s">
        <v>264</v>
      </c>
      <c r="S33" s="21">
        <v>0.08</v>
      </c>
    </row>
    <row r="34" spans="2:23">
      <c r="C34" t="s">
        <v>143</v>
      </c>
      <c r="E34" s="34">
        <f>R13</f>
        <v>160800</v>
      </c>
      <c r="F34" s="34">
        <f t="shared" ref="F34:I34" si="5">S13</f>
        <v>336960</v>
      </c>
      <c r="G34" s="34">
        <f t="shared" si="5"/>
        <v>530784.00000000012</v>
      </c>
      <c r="H34" s="34">
        <f t="shared" si="5"/>
        <v>744883.20000000019</v>
      </c>
      <c r="I34" s="34">
        <f t="shared" si="5"/>
        <v>785771.52000000025</v>
      </c>
      <c r="P34" t="s">
        <v>305</v>
      </c>
      <c r="S34" s="21">
        <v>0.4</v>
      </c>
    </row>
    <row r="35" spans="2:23">
      <c r="C35" t="s">
        <v>142</v>
      </c>
      <c r="E35" s="34">
        <f>E32-E33-E34</f>
        <v>79200</v>
      </c>
      <c r="F35" s="34">
        <f t="shared" ref="F35:I35" si="6">F32-F33-F34</f>
        <v>59040</v>
      </c>
      <c r="G35" s="34">
        <f t="shared" si="6"/>
        <v>79056</v>
      </c>
      <c r="H35" s="34">
        <f t="shared" si="6"/>
        <v>127187.99999999988</v>
      </c>
      <c r="I35" s="34">
        <f t="shared" si="6"/>
        <v>317398.54799999972</v>
      </c>
      <c r="P35" t="s">
        <v>306</v>
      </c>
      <c r="T35">
        <f>S30/(S30+S31)*S32+S31/(S31+S30)*S33*(1-S34)</f>
        <v>0.10880000000000001</v>
      </c>
    </row>
    <row r="36" spans="2:23">
      <c r="C36" t="s">
        <v>141</v>
      </c>
      <c r="E36" s="34">
        <f>S19</f>
        <v>20000</v>
      </c>
      <c r="F36" s="34">
        <f>S19</f>
        <v>20000</v>
      </c>
      <c r="G36" s="34">
        <f>S19</f>
        <v>20000</v>
      </c>
      <c r="H36" s="34">
        <f>S19</f>
        <v>20000</v>
      </c>
      <c r="I36" s="34">
        <f>S19</f>
        <v>20000</v>
      </c>
    </row>
    <row r="37" spans="2:23">
      <c r="C37" t="s">
        <v>140</v>
      </c>
      <c r="E37" s="34">
        <f>$Q25</f>
        <v>9600</v>
      </c>
      <c r="F37" s="34">
        <f t="shared" ref="F37:I37" si="7">$Q25</f>
        <v>9600</v>
      </c>
      <c r="G37" s="34">
        <f t="shared" si="7"/>
        <v>9600</v>
      </c>
      <c r="H37" s="34">
        <f t="shared" si="7"/>
        <v>9600</v>
      </c>
      <c r="I37" s="34">
        <f t="shared" si="7"/>
        <v>9600</v>
      </c>
      <c r="P37" s="114" t="s">
        <v>320</v>
      </c>
      <c r="Q37" s="114"/>
      <c r="R37" s="114"/>
      <c r="S37" s="114"/>
      <c r="T37" s="114"/>
      <c r="U37" s="114"/>
      <c r="V37" s="114"/>
      <c r="W37" s="114"/>
    </row>
    <row r="38" spans="2:23">
      <c r="C38" t="s">
        <v>139</v>
      </c>
      <c r="E38" s="34">
        <f>E35-E36-E37</f>
        <v>49600</v>
      </c>
      <c r="F38" s="34">
        <f t="shared" ref="F38:I38" si="8">F35-F36-F37</f>
        <v>29440</v>
      </c>
      <c r="G38" s="34">
        <f t="shared" si="8"/>
        <v>49456</v>
      </c>
      <c r="H38" s="34">
        <f t="shared" si="8"/>
        <v>97587.999999999884</v>
      </c>
      <c r="I38" s="34">
        <f t="shared" si="8"/>
        <v>287798.54799999972</v>
      </c>
    </row>
    <row r="39" spans="2:23">
      <c r="C39" t="s">
        <v>138</v>
      </c>
      <c r="E39" s="34">
        <f>E38*40%</f>
        <v>19840</v>
      </c>
      <c r="F39" s="34">
        <f t="shared" ref="F39:I39" si="9">F38*40%</f>
        <v>11776</v>
      </c>
      <c r="G39" s="34">
        <f t="shared" si="9"/>
        <v>19782.400000000001</v>
      </c>
      <c r="H39" s="34">
        <f t="shared" si="9"/>
        <v>39035.199999999953</v>
      </c>
      <c r="I39" s="34">
        <f t="shared" si="9"/>
        <v>115119.41919999989</v>
      </c>
      <c r="P39" t="s">
        <v>321</v>
      </c>
      <c r="R39">
        <v>120000</v>
      </c>
    </row>
    <row r="40" spans="2:23">
      <c r="C40" t="s">
        <v>137</v>
      </c>
      <c r="E40" s="34">
        <f>E38-E39</f>
        <v>29760</v>
      </c>
      <c r="F40" s="34">
        <f t="shared" ref="F40:I40" si="10">F38-F39</f>
        <v>17664</v>
      </c>
      <c r="G40" s="34">
        <f t="shared" si="10"/>
        <v>29673.599999999999</v>
      </c>
      <c r="H40" s="34">
        <f t="shared" si="10"/>
        <v>58552.79999999993</v>
      </c>
      <c r="I40" s="34">
        <f t="shared" si="10"/>
        <v>172679.12879999983</v>
      </c>
    </row>
    <row r="41" spans="2:23">
      <c r="D41" s="49">
        <v>0</v>
      </c>
      <c r="E41" s="49">
        <v>1</v>
      </c>
      <c r="F41" s="49">
        <v>2</v>
      </c>
      <c r="G41" s="49">
        <v>3</v>
      </c>
      <c r="H41" s="49">
        <v>4</v>
      </c>
      <c r="I41" s="49">
        <v>5</v>
      </c>
      <c r="P41" t="s">
        <v>398</v>
      </c>
      <c r="R41">
        <v>200000</v>
      </c>
    </row>
    <row r="42" spans="2:23">
      <c r="C42" t="s">
        <v>136</v>
      </c>
      <c r="D42" s="116">
        <f>120000-200000</f>
        <v>-80000</v>
      </c>
      <c r="E42" s="116"/>
      <c r="F42" s="116"/>
      <c r="G42" s="116"/>
      <c r="H42" s="116"/>
      <c r="I42" s="116">
        <f>S51</f>
        <v>614797.09599999944</v>
      </c>
    </row>
    <row r="43" spans="2:23">
      <c r="C43" t="s">
        <v>135</v>
      </c>
      <c r="D43" s="116"/>
      <c r="E43" s="116">
        <f>R61</f>
        <v>59360</v>
      </c>
      <c r="F43" s="116">
        <f>S61</f>
        <v>47264</v>
      </c>
      <c r="G43" s="116">
        <f>T61</f>
        <v>59273.599999999999</v>
      </c>
      <c r="H43" s="116">
        <f>U61</f>
        <v>88152.79999999993</v>
      </c>
      <c r="I43" s="116">
        <f>V61</f>
        <v>202279.12879999983</v>
      </c>
      <c r="P43" t="s">
        <v>399</v>
      </c>
      <c r="Q43">
        <f>R39-R41</f>
        <v>-80000</v>
      </c>
      <c r="R43" t="s">
        <v>400</v>
      </c>
      <c r="S43" t="s">
        <v>322</v>
      </c>
      <c r="U43">
        <v>80000</v>
      </c>
    </row>
    <row r="44" spans="2:23">
      <c r="C44" t="s">
        <v>134</v>
      </c>
      <c r="D44" s="116">
        <f>D42+D43</f>
        <v>-80000</v>
      </c>
      <c r="E44" s="116">
        <f t="shared" ref="E44:H44" si="11">E42+E43</f>
        <v>59360</v>
      </c>
      <c r="F44" s="116">
        <f t="shared" si="11"/>
        <v>47264</v>
      </c>
      <c r="G44" s="116">
        <f t="shared" si="11"/>
        <v>59273.599999999999</v>
      </c>
      <c r="H44" s="116">
        <f t="shared" si="11"/>
        <v>88152.79999999993</v>
      </c>
      <c r="I44" s="116">
        <f>I42+I43</f>
        <v>817076.22479999927</v>
      </c>
    </row>
    <row r="45" spans="2:23">
      <c r="C45" t="s">
        <v>133</v>
      </c>
      <c r="D45" s="120"/>
      <c r="E45" s="116">
        <f>PV($D29,E41,0,E44)*-1</f>
        <v>53535.353535353534</v>
      </c>
      <c r="F45" s="116">
        <f t="shared" ref="F45:H45" si="12">PV($D29,F41,0,F44)*-1</f>
        <v>38443.59904965965</v>
      </c>
      <c r="G45" s="116">
        <f t="shared" si="12"/>
        <v>43481.213210353715</v>
      </c>
      <c r="H45" s="116">
        <f t="shared" si="12"/>
        <v>58320.769062954329</v>
      </c>
      <c r="I45" s="116">
        <f>PV($D29,I41,0,I44)*-1</f>
        <v>487524.54683352308</v>
      </c>
    </row>
    <row r="46" spans="2:23">
      <c r="C46" t="s">
        <v>132</v>
      </c>
      <c r="D46" s="120">
        <f>D44</f>
        <v>-80000</v>
      </c>
      <c r="E46" s="116">
        <f>$E45+D44</f>
        <v>-26464.646464646466</v>
      </c>
      <c r="F46" s="116">
        <f>E46+F45</f>
        <v>11978.952585013183</v>
      </c>
      <c r="G46" s="116">
        <f>F46+G45</f>
        <v>55460.165795366898</v>
      </c>
      <c r="H46" s="116">
        <f>G46+H45</f>
        <v>113780.93485832123</v>
      </c>
      <c r="I46" s="116">
        <f>H46+I45</f>
        <v>601305.4816918443</v>
      </c>
      <c r="P46" s="114" t="s">
        <v>309</v>
      </c>
      <c r="Q46" s="114"/>
      <c r="R46" s="114"/>
      <c r="S46" s="114"/>
      <c r="T46" s="114"/>
      <c r="U46" s="114"/>
      <c r="V46" s="114"/>
      <c r="W46" s="114"/>
    </row>
    <row r="47" spans="2:23">
      <c r="P47" t="s">
        <v>310</v>
      </c>
      <c r="S47">
        <v>50000</v>
      </c>
    </row>
    <row r="48" spans="2:23">
      <c r="B48" s="48" t="s">
        <v>131</v>
      </c>
      <c r="C48" t="s">
        <v>130</v>
      </c>
      <c r="D48" s="116">
        <f>NPV(D29,E44:I44)+D44</f>
        <v>601305.4816918443</v>
      </c>
      <c r="P48" t="s">
        <v>311</v>
      </c>
      <c r="S48">
        <v>50000</v>
      </c>
    </row>
    <row r="49" spans="2:23">
      <c r="P49" t="s">
        <v>312</v>
      </c>
      <c r="S49">
        <f>2*I35</f>
        <v>634797.09599999944</v>
      </c>
    </row>
    <row r="50" spans="2:23">
      <c r="B50" s="48" t="s">
        <v>129</v>
      </c>
      <c r="C50" t="s">
        <v>128</v>
      </c>
      <c r="D50" s="119">
        <f>IRR(D44:I44)</f>
        <v>0.99954192979770351</v>
      </c>
      <c r="P50" t="s">
        <v>313</v>
      </c>
      <c r="S50">
        <v>-120000</v>
      </c>
    </row>
    <row r="51" spans="2:23">
      <c r="S51">
        <f>SUM(S47:S50)</f>
        <v>614797.09599999944</v>
      </c>
    </row>
    <row r="52" spans="2:23">
      <c r="B52" s="48" t="s">
        <v>127</v>
      </c>
      <c r="C52" t="s">
        <v>126</v>
      </c>
      <c r="D52" s="116">
        <f>S69</f>
        <v>1.6884018957345974</v>
      </c>
    </row>
    <row r="54" spans="2:23">
      <c r="P54" s="114" t="s">
        <v>314</v>
      </c>
      <c r="Q54" s="114"/>
      <c r="R54" s="114"/>
      <c r="S54" s="114"/>
      <c r="T54" s="114"/>
      <c r="U54" s="114"/>
      <c r="V54" s="114"/>
      <c r="W54" s="114"/>
    </row>
    <row r="56" spans="2:23">
      <c r="P56" s="118" t="s">
        <v>315</v>
      </c>
      <c r="Q56" s="117"/>
      <c r="R56" s="117"/>
      <c r="S56" s="117"/>
      <c r="T56" s="117"/>
      <c r="U56" s="117"/>
      <c r="V56" s="117"/>
      <c r="W56" s="117"/>
    </row>
    <row r="58" spans="2:23">
      <c r="P58" t="s">
        <v>316</v>
      </c>
      <c r="R58">
        <v>0</v>
      </c>
      <c r="S58">
        <v>0</v>
      </c>
      <c r="T58">
        <v>0</v>
      </c>
      <c r="U58">
        <v>0</v>
      </c>
      <c r="V58">
        <v>0</v>
      </c>
    </row>
    <row r="59" spans="2:23">
      <c r="P59" t="s">
        <v>317</v>
      </c>
      <c r="R59">
        <f>E35</f>
        <v>79200</v>
      </c>
      <c r="S59">
        <f>F35</f>
        <v>59040</v>
      </c>
      <c r="T59">
        <f>G35</f>
        <v>79056</v>
      </c>
      <c r="U59">
        <f>H35</f>
        <v>127187.99999999988</v>
      </c>
      <c r="V59">
        <f>I35</f>
        <v>317398.54799999972</v>
      </c>
    </row>
    <row r="60" spans="2:23">
      <c r="P60" t="s">
        <v>318</v>
      </c>
      <c r="R60">
        <f>E39</f>
        <v>19840</v>
      </c>
      <c r="S60">
        <f>F39</f>
        <v>11776</v>
      </c>
      <c r="T60">
        <f>G39</f>
        <v>19782.400000000001</v>
      </c>
      <c r="U60">
        <f>H39</f>
        <v>39035.199999999953</v>
      </c>
      <c r="V60">
        <f>I39</f>
        <v>115119.41919999989</v>
      </c>
    </row>
    <row r="61" spans="2:23">
      <c r="R61">
        <f>R59-R60</f>
        <v>59360</v>
      </c>
      <c r="S61">
        <f t="shared" ref="S61:V61" si="13">S59-S60</f>
        <v>47264</v>
      </c>
      <c r="T61">
        <f t="shared" si="13"/>
        <v>59273.599999999999</v>
      </c>
      <c r="U61">
        <f t="shared" si="13"/>
        <v>88152.79999999993</v>
      </c>
      <c r="V61">
        <f t="shared" si="13"/>
        <v>202279.12879999983</v>
      </c>
    </row>
    <row r="64" spans="2:23">
      <c r="P64" s="114" t="s">
        <v>319</v>
      </c>
      <c r="Q64" s="114"/>
      <c r="R64" s="114"/>
      <c r="S64" s="114"/>
      <c r="T64" s="114"/>
      <c r="U64" s="114"/>
      <c r="V64" s="114"/>
      <c r="W64" s="114"/>
    </row>
    <row r="66" spans="16:19">
      <c r="P66" t="s">
        <v>401</v>
      </c>
      <c r="S66" s="104">
        <f>SUM(E45:F45)</f>
        <v>91978.952585013176</v>
      </c>
    </row>
    <row r="67" spans="16:19">
      <c r="P67" t="s">
        <v>136</v>
      </c>
      <c r="S67" s="104">
        <f>D46</f>
        <v>-80000</v>
      </c>
    </row>
    <row r="68" spans="16:19">
      <c r="P68" t="s">
        <v>402</v>
      </c>
      <c r="S68">
        <f>(S66+S67)/F45</f>
        <v>0.31159810426540252</v>
      </c>
    </row>
    <row r="69" spans="16:19">
      <c r="P69" t="s">
        <v>126</v>
      </c>
      <c r="S69">
        <f>2-S68</f>
        <v>1.6884018957345974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R168"/>
  <sheetViews>
    <sheetView showGridLines="0" zoomScale="87" zoomScaleNormal="87" workbookViewId="0">
      <selection activeCell="B74" sqref="B74:B75"/>
    </sheetView>
  </sheetViews>
  <sheetFormatPr baseColWidth="10" defaultColWidth="8.83203125" defaultRowHeight="21"/>
  <cols>
    <col min="1" max="1" width="7.6640625" bestFit="1" customWidth="1"/>
    <col min="2" max="2" width="9.6640625" bestFit="1" customWidth="1"/>
    <col min="3" max="3" width="45.83203125" bestFit="1" customWidth="1"/>
    <col min="4" max="4" width="13.5" bestFit="1" customWidth="1"/>
    <col min="5" max="5" width="14.6640625" bestFit="1" customWidth="1"/>
    <col min="6" max="6" width="13.5" bestFit="1" customWidth="1"/>
    <col min="7" max="7" width="11.33203125" bestFit="1" customWidth="1"/>
    <col min="8" max="12" width="11.6640625" bestFit="1" customWidth="1"/>
    <col min="13" max="13" width="7.1640625" style="145" customWidth="1"/>
    <col min="14" max="14" width="15.33203125" customWidth="1"/>
    <col min="15" max="16" width="11.6640625" bestFit="1" customWidth="1"/>
    <col min="17" max="17" width="13.6640625" bestFit="1" customWidth="1"/>
    <col min="18" max="23" width="11.6640625" bestFit="1" customWidth="1"/>
    <col min="24" max="44" width="12.33203125" bestFit="1" customWidth="1"/>
  </cols>
  <sheetData>
    <row r="1" spans="1:2">
      <c r="B1" s="31" t="s">
        <v>119</v>
      </c>
    </row>
    <row r="2" spans="1:2">
      <c r="B2" t="s">
        <v>64</v>
      </c>
    </row>
    <row r="3" spans="1:2">
      <c r="B3" t="s">
        <v>43</v>
      </c>
    </row>
    <row r="5" spans="1:2">
      <c r="B5" t="s">
        <v>44</v>
      </c>
    </row>
    <row r="6" spans="1:2">
      <c r="A6">
        <v>15000</v>
      </c>
      <c r="B6" t="s">
        <v>45</v>
      </c>
    </row>
    <row r="7" spans="1:2">
      <c r="A7">
        <v>5000</v>
      </c>
      <c r="B7" t="s">
        <v>54</v>
      </c>
    </row>
    <row r="8" spans="1:2">
      <c r="A8">
        <v>2000</v>
      </c>
      <c r="B8" t="s">
        <v>46</v>
      </c>
    </row>
    <row r="9" spans="1:2">
      <c r="A9">
        <v>2500</v>
      </c>
      <c r="B9" t="s">
        <v>41</v>
      </c>
    </row>
    <row r="10" spans="1:2">
      <c r="A10">
        <v>1000</v>
      </c>
      <c r="B10" t="s">
        <v>42</v>
      </c>
    </row>
    <row r="11" spans="1:2">
      <c r="A11">
        <v>1000</v>
      </c>
      <c r="B11" t="s">
        <v>120</v>
      </c>
    </row>
    <row r="13" spans="1:2">
      <c r="B13" t="s">
        <v>47</v>
      </c>
    </row>
    <row r="14" spans="1:2">
      <c r="A14">
        <v>12000</v>
      </c>
      <c r="B14" t="s">
        <v>83</v>
      </c>
    </row>
    <row r="15" spans="1:2">
      <c r="B15" t="s">
        <v>65</v>
      </c>
    </row>
    <row r="16" spans="1:2">
      <c r="A16" s="21">
        <v>0.05</v>
      </c>
      <c r="B16" t="s">
        <v>84</v>
      </c>
    </row>
    <row r="17" spans="1:2">
      <c r="A17" s="21">
        <v>0.2</v>
      </c>
      <c r="B17" t="s">
        <v>121</v>
      </c>
    </row>
    <row r="18" spans="1:2">
      <c r="B18" t="s">
        <v>67</v>
      </c>
    </row>
    <row r="19" spans="1:2">
      <c r="A19" s="22">
        <v>0.19500000000000001</v>
      </c>
      <c r="B19" t="s">
        <v>85</v>
      </c>
    </row>
    <row r="20" spans="1:2">
      <c r="B20" t="s">
        <v>122</v>
      </c>
    </row>
    <row r="21" spans="1:2">
      <c r="A21" s="21"/>
      <c r="B21" t="s">
        <v>66</v>
      </c>
    </row>
    <row r="22" spans="1:2">
      <c r="A22" s="21">
        <v>0.1</v>
      </c>
      <c r="B22" t="s">
        <v>61</v>
      </c>
    </row>
    <row r="23" spans="1:2">
      <c r="A23" s="21"/>
      <c r="B23" t="s">
        <v>91</v>
      </c>
    </row>
    <row r="24" spans="1:2">
      <c r="A24" s="21"/>
    </row>
    <row r="25" spans="1:2">
      <c r="B25" t="s">
        <v>48</v>
      </c>
    </row>
    <row r="26" spans="1:2">
      <c r="B26" t="s">
        <v>49</v>
      </c>
    </row>
    <row r="27" spans="1:2">
      <c r="A27">
        <v>60000</v>
      </c>
      <c r="B27" t="s">
        <v>62</v>
      </c>
    </row>
    <row r="28" spans="1:2">
      <c r="A28">
        <v>20000</v>
      </c>
      <c r="B28" t="s">
        <v>50</v>
      </c>
    </row>
    <row r="29" spans="1:2">
      <c r="A29">
        <v>10000</v>
      </c>
      <c r="B29" t="s">
        <v>55</v>
      </c>
    </row>
    <row r="30" spans="1:2">
      <c r="A30">
        <v>1500</v>
      </c>
      <c r="B30" t="s">
        <v>51</v>
      </c>
    </row>
    <row r="31" spans="1:2">
      <c r="A31">
        <v>4000</v>
      </c>
      <c r="B31" t="s">
        <v>63</v>
      </c>
    </row>
    <row r="32" spans="1:2">
      <c r="A32">
        <v>20000</v>
      </c>
      <c r="B32" t="s">
        <v>56</v>
      </c>
    </row>
    <row r="33" spans="1:2">
      <c r="A33" s="21">
        <v>0.1</v>
      </c>
      <c r="B33" t="s">
        <v>53</v>
      </c>
    </row>
    <row r="34" spans="1:2">
      <c r="A34" s="21">
        <v>0.15</v>
      </c>
      <c r="B34" t="s">
        <v>93</v>
      </c>
    </row>
    <row r="35" spans="1:2">
      <c r="A35" s="21"/>
    </row>
    <row r="36" spans="1:2">
      <c r="B36" t="s">
        <v>57</v>
      </c>
    </row>
    <row r="37" spans="1:2">
      <c r="A37">
        <v>80000</v>
      </c>
      <c r="B37" t="s">
        <v>58</v>
      </c>
    </row>
    <row r="38" spans="1:2">
      <c r="A38">
        <v>20000</v>
      </c>
      <c r="B38" t="s">
        <v>50</v>
      </c>
    </row>
    <row r="39" spans="1:2">
      <c r="A39">
        <v>15000</v>
      </c>
      <c r="B39" t="s">
        <v>59</v>
      </c>
    </row>
    <row r="40" spans="1:2">
      <c r="A40">
        <v>6000</v>
      </c>
      <c r="B40" t="s">
        <v>60</v>
      </c>
    </row>
    <row r="41" spans="1:2">
      <c r="A41">
        <v>5000</v>
      </c>
      <c r="B41" t="s">
        <v>52</v>
      </c>
    </row>
    <row r="42" spans="1:2">
      <c r="A42">
        <v>30000</v>
      </c>
      <c r="B42" t="s">
        <v>56</v>
      </c>
    </row>
    <row r="43" spans="1:2">
      <c r="A43" s="21">
        <v>0.12</v>
      </c>
      <c r="B43" t="s">
        <v>53</v>
      </c>
    </row>
    <row r="44" spans="1:2">
      <c r="A44" s="21">
        <v>0.2</v>
      </c>
      <c r="B44" t="s">
        <v>93</v>
      </c>
    </row>
    <row r="45" spans="1:2">
      <c r="A45" s="21"/>
    </row>
    <row r="46" spans="1:2">
      <c r="A46" s="21"/>
      <c r="B46" t="s">
        <v>94</v>
      </c>
    </row>
    <row r="47" spans="1:2">
      <c r="A47" s="25">
        <v>0.14000000000000001</v>
      </c>
      <c r="B47" t="s">
        <v>95</v>
      </c>
    </row>
    <row r="48" spans="1:2">
      <c r="A48" s="21">
        <v>0.2</v>
      </c>
      <c r="B48" s="21" t="s">
        <v>68</v>
      </c>
    </row>
    <row r="49" spans="1:2">
      <c r="A49" s="25"/>
      <c r="B49" s="21"/>
    </row>
    <row r="50" spans="1:2">
      <c r="A50" s="25"/>
      <c r="B50" s="21" t="s">
        <v>123</v>
      </c>
    </row>
    <row r="51" spans="1:2">
      <c r="A51" s="25"/>
      <c r="B51" s="21" t="s">
        <v>96</v>
      </c>
    </row>
    <row r="52" spans="1:2">
      <c r="A52" s="25"/>
      <c r="B52" s="21" t="s">
        <v>69</v>
      </c>
    </row>
    <row r="53" spans="1:2">
      <c r="A53" s="25">
        <v>0.12</v>
      </c>
      <c r="B53" s="21" t="s">
        <v>70</v>
      </c>
    </row>
    <row r="54" spans="1:2">
      <c r="A54" s="25"/>
      <c r="B54" s="21" t="s">
        <v>97</v>
      </c>
    </row>
    <row r="55" spans="1:2">
      <c r="A55" s="25"/>
      <c r="B55" s="21"/>
    </row>
    <row r="56" spans="1:2">
      <c r="A56" s="25"/>
      <c r="B56" s="21" t="s">
        <v>111</v>
      </c>
    </row>
    <row r="57" spans="1:2">
      <c r="A57" s="25"/>
      <c r="B57" s="21" t="s">
        <v>75</v>
      </c>
    </row>
    <row r="58" spans="1:2">
      <c r="A58" s="25" t="s">
        <v>71</v>
      </c>
      <c r="B58" s="21" t="s">
        <v>104</v>
      </c>
    </row>
    <row r="59" spans="1:2">
      <c r="A59" s="25"/>
      <c r="B59" s="21" t="s">
        <v>76</v>
      </c>
    </row>
    <row r="60" spans="1:2">
      <c r="A60" s="25"/>
      <c r="B60" s="21" t="s">
        <v>112</v>
      </c>
    </row>
    <row r="61" spans="1:2">
      <c r="A61" s="25"/>
      <c r="B61" s="21"/>
    </row>
    <row r="62" spans="1:2">
      <c r="A62" s="25" t="s">
        <v>72</v>
      </c>
      <c r="B62" s="21" t="s">
        <v>113</v>
      </c>
    </row>
    <row r="63" spans="1:2">
      <c r="A63" s="25"/>
      <c r="B63" s="21" t="s">
        <v>78</v>
      </c>
    </row>
    <row r="64" spans="1:2">
      <c r="B64" s="21" t="s">
        <v>114</v>
      </c>
    </row>
    <row r="65" spans="1:6">
      <c r="B65" s="21"/>
    </row>
    <row r="66" spans="1:6">
      <c r="A66" s="25" t="s">
        <v>73</v>
      </c>
      <c r="B66" s="21" t="s">
        <v>79</v>
      </c>
    </row>
    <row r="67" spans="1:6">
      <c r="A67" s="25"/>
      <c r="B67" s="21" t="s">
        <v>80</v>
      </c>
    </row>
    <row r="68" spans="1:6">
      <c r="B68" s="21" t="s">
        <v>115</v>
      </c>
    </row>
    <row r="69" spans="1:6">
      <c r="B69" s="21"/>
    </row>
    <row r="70" spans="1:6">
      <c r="A70" t="s">
        <v>74</v>
      </c>
      <c r="B70" s="21" t="s">
        <v>81</v>
      </c>
    </row>
    <row r="71" spans="1:6">
      <c r="A71" s="25"/>
      <c r="B71" s="21" t="s">
        <v>82</v>
      </c>
    </row>
    <row r="72" spans="1:6">
      <c r="B72" s="21" t="s">
        <v>116</v>
      </c>
    </row>
    <row r="73" spans="1:6">
      <c r="B73" s="21"/>
    </row>
    <row r="74" spans="1:6">
      <c r="A74" t="s">
        <v>77</v>
      </c>
      <c r="B74" s="21" t="s">
        <v>117</v>
      </c>
    </row>
    <row r="75" spans="1:6">
      <c r="B75" s="21" t="s">
        <v>118</v>
      </c>
    </row>
    <row r="76" spans="1:6">
      <c r="B76" s="21"/>
    </row>
    <row r="77" spans="1:6">
      <c r="B77" s="21"/>
    </row>
    <row r="78" spans="1:6">
      <c r="C78" s="31" t="s">
        <v>92</v>
      </c>
      <c r="D78" s="21"/>
    </row>
    <row r="79" spans="1:6">
      <c r="C79" s="27" t="s">
        <v>86</v>
      </c>
      <c r="D79" s="30">
        <v>2016</v>
      </c>
      <c r="E79" s="27">
        <v>2017</v>
      </c>
      <c r="F79" s="27">
        <v>2018</v>
      </c>
    </row>
    <row r="80" spans="1:6">
      <c r="C80" t="s">
        <v>87</v>
      </c>
      <c r="D80" s="29">
        <v>0</v>
      </c>
      <c r="E80" s="29">
        <f>D83</f>
        <v>100</v>
      </c>
      <c r="F80" s="29">
        <f>E83</f>
        <v>210</v>
      </c>
    </row>
    <row r="81" spans="2:44">
      <c r="C81" t="s">
        <v>88</v>
      </c>
      <c r="D81" s="29">
        <v>100</v>
      </c>
      <c r="E81" s="29">
        <v>100</v>
      </c>
      <c r="F81" s="29">
        <v>101</v>
      </c>
    </row>
    <row r="82" spans="2:44">
      <c r="C82" t="s">
        <v>90</v>
      </c>
      <c r="D82" s="29">
        <f>$A$22*D80</f>
        <v>0</v>
      </c>
      <c r="E82" s="29">
        <f>$A$22*E80</f>
        <v>10</v>
      </c>
      <c r="F82" s="29">
        <f>$A$22*F80</f>
        <v>21</v>
      </c>
    </row>
    <row r="83" spans="2:44">
      <c r="C83" t="s">
        <v>89</v>
      </c>
      <c r="D83" s="29">
        <f>D80+D81+D82</f>
        <v>100</v>
      </c>
      <c r="E83" s="29">
        <f>E80+E81+E82</f>
        <v>210</v>
      </c>
      <c r="F83" s="29">
        <f>F80+F81+F82</f>
        <v>332</v>
      </c>
    </row>
    <row r="84" spans="2:44">
      <c r="D84" s="21"/>
    </row>
    <row r="85" spans="2:44">
      <c r="C85" s="31" t="s">
        <v>98</v>
      </c>
      <c r="D85" s="21"/>
    </row>
    <row r="86" spans="2:44">
      <c r="C86" s="32" t="s">
        <v>99</v>
      </c>
      <c r="D86" s="21"/>
      <c r="G86">
        <v>100</v>
      </c>
    </row>
    <row r="87" spans="2:44">
      <c r="C87" s="32" t="s">
        <v>103</v>
      </c>
      <c r="D87" s="21"/>
      <c r="G87">
        <v>20</v>
      </c>
    </row>
    <row r="88" spans="2:44">
      <c r="C88" s="27" t="s">
        <v>86</v>
      </c>
      <c r="D88" s="30">
        <v>2016</v>
      </c>
      <c r="E88" s="27">
        <v>2017</v>
      </c>
      <c r="F88" s="27">
        <v>2018</v>
      </c>
    </row>
    <row r="89" spans="2:44">
      <c r="C89" t="s">
        <v>87</v>
      </c>
      <c r="D89" s="29">
        <f>G86</f>
        <v>100</v>
      </c>
      <c r="E89" s="29">
        <f>D92</f>
        <v>112</v>
      </c>
      <c r="F89" s="29">
        <f>E92</f>
        <v>125.44</v>
      </c>
    </row>
    <row r="90" spans="2:44">
      <c r="C90" t="s">
        <v>100</v>
      </c>
      <c r="D90" s="29">
        <f>D89*$A$53</f>
        <v>12</v>
      </c>
      <c r="E90" s="29">
        <f t="shared" ref="E90:F90" si="0">E89*$A$53</f>
        <v>13.44</v>
      </c>
      <c r="F90" s="29">
        <f t="shared" si="0"/>
        <v>15.0528</v>
      </c>
    </row>
    <row r="91" spans="2:44">
      <c r="C91" t="s">
        <v>101</v>
      </c>
      <c r="D91" s="29">
        <v>0</v>
      </c>
      <c r="E91" s="29">
        <v>0</v>
      </c>
      <c r="F91">
        <f>G87</f>
        <v>20</v>
      </c>
    </row>
    <row r="92" spans="2:44">
      <c r="C92" t="s">
        <v>102</v>
      </c>
      <c r="D92" s="29">
        <f>D89+D90-D91</f>
        <v>112</v>
      </c>
      <c r="E92" s="29">
        <f t="shared" ref="E92:F92" si="1">E89+E90-E91</f>
        <v>125.44</v>
      </c>
      <c r="F92" s="29">
        <f t="shared" si="1"/>
        <v>120.49279999999999</v>
      </c>
    </row>
    <row r="93" spans="2:44">
      <c r="B93" s="21"/>
    </row>
    <row r="95" spans="2:44">
      <c r="F95" s="23"/>
      <c r="G95" s="23"/>
      <c r="H95" s="23"/>
      <c r="I95" s="23"/>
      <c r="J95" s="23"/>
      <c r="K95" s="23"/>
      <c r="L95" s="23"/>
      <c r="M95" s="146"/>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row>
    <row r="96" spans="2:44">
      <c r="C96" s="23"/>
      <c r="D96" s="23"/>
      <c r="E96" s="23"/>
      <c r="F96" s="23"/>
      <c r="G96" s="23"/>
      <c r="H96" s="23"/>
      <c r="I96" s="23"/>
      <c r="J96" s="23"/>
      <c r="K96" s="23"/>
      <c r="L96" s="23"/>
      <c r="M96" s="146"/>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row>
    <row r="97" spans="2:44">
      <c r="B97" s="24"/>
      <c r="C97" s="24"/>
      <c r="D97" s="24"/>
      <c r="E97" s="23"/>
      <c r="F97" s="23"/>
      <c r="G97" s="23"/>
      <c r="H97" s="23"/>
      <c r="I97" s="23"/>
      <c r="J97" s="23"/>
      <c r="K97" s="23"/>
      <c r="L97" s="23"/>
      <c r="M97" s="146"/>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row>
    <row r="98" spans="2:44">
      <c r="B98" s="24"/>
      <c r="C98" s="24"/>
      <c r="D98" s="24"/>
      <c r="E98" s="23"/>
      <c r="F98" s="23"/>
      <c r="G98" s="23"/>
      <c r="H98" s="23"/>
      <c r="I98" s="23"/>
      <c r="J98" s="23"/>
      <c r="K98" s="23"/>
      <c r="L98" s="23"/>
      <c r="M98" s="146"/>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row>
    <row r="99" spans="2:44">
      <c r="B99" s="24"/>
      <c r="C99" s="24"/>
      <c r="D99" s="24"/>
      <c r="E99" s="23"/>
      <c r="F99" s="23"/>
      <c r="G99" s="23"/>
      <c r="H99" s="23"/>
      <c r="I99" s="23"/>
      <c r="J99" s="23"/>
      <c r="K99" s="23"/>
      <c r="L99" s="23"/>
      <c r="M99" s="146"/>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row>
    <row r="100" spans="2:44">
      <c r="B100" s="24"/>
      <c r="C100" s="24"/>
      <c r="D100" s="24"/>
      <c r="E100" s="23"/>
      <c r="F100" s="23"/>
      <c r="G100" s="23"/>
      <c r="H100" s="23"/>
      <c r="I100" s="23"/>
      <c r="J100" s="23"/>
      <c r="K100" s="23"/>
      <c r="L100" s="23"/>
      <c r="M100" s="146"/>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row>
    <row r="101" spans="2:44">
      <c r="B101" s="24"/>
      <c r="C101" s="24"/>
      <c r="D101" s="24"/>
      <c r="E101" s="23"/>
      <c r="F101" s="23"/>
      <c r="G101" s="23"/>
      <c r="H101" s="23"/>
      <c r="I101" s="23"/>
      <c r="J101" s="23"/>
      <c r="K101" s="23"/>
      <c r="L101" s="23"/>
      <c r="M101" s="146"/>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row>
    <row r="102" spans="2:44">
      <c r="B102" s="24"/>
      <c r="C102" s="24"/>
      <c r="D102" s="24"/>
      <c r="E102" s="24"/>
      <c r="F102" s="24"/>
      <c r="G102" s="24"/>
      <c r="H102" s="24"/>
      <c r="I102" s="24"/>
      <c r="J102" s="24"/>
      <c r="K102" s="24"/>
      <c r="L102" s="24"/>
      <c r="M102" s="147"/>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row>
    <row r="103" spans="2:44">
      <c r="B103" s="24"/>
      <c r="C103" s="24"/>
      <c r="D103" s="24"/>
      <c r="E103" s="24"/>
      <c r="F103" s="24"/>
      <c r="G103" s="24"/>
      <c r="H103" s="24"/>
      <c r="I103" s="24"/>
      <c r="J103" s="24"/>
      <c r="K103" s="24"/>
      <c r="L103" s="24"/>
      <c r="M103" s="147"/>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row>
    <row r="104" spans="2:44">
      <c r="B104" s="24"/>
      <c r="C104" s="24"/>
      <c r="D104" s="24"/>
      <c r="E104" s="24"/>
      <c r="F104" s="24"/>
      <c r="G104" s="24"/>
      <c r="H104" s="24"/>
      <c r="I104" s="24"/>
      <c r="J104" s="24"/>
      <c r="K104" s="24"/>
      <c r="L104" s="24"/>
      <c r="M104" s="147"/>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row>
    <row r="105" spans="2:44">
      <c r="B105" s="24"/>
      <c r="C105" s="24"/>
      <c r="D105" s="24"/>
      <c r="E105" s="24"/>
      <c r="F105" s="24"/>
      <c r="G105" s="24"/>
      <c r="H105" s="24"/>
      <c r="I105" s="24"/>
      <c r="J105" s="24"/>
      <c r="K105" s="24"/>
      <c r="L105" s="24"/>
      <c r="M105" s="147"/>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row>
    <row r="106" spans="2:44">
      <c r="B106" s="24"/>
      <c r="C106" s="24"/>
      <c r="D106" s="24"/>
      <c r="E106" s="24"/>
      <c r="F106" s="24"/>
      <c r="G106" s="24"/>
      <c r="H106" s="24"/>
      <c r="I106" s="24"/>
      <c r="J106" s="24"/>
      <c r="K106" s="24"/>
      <c r="L106" s="24"/>
      <c r="M106" s="147"/>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row>
    <row r="107" spans="2:44">
      <c r="B107" s="24"/>
      <c r="C107" s="24"/>
      <c r="D107" s="24"/>
      <c r="E107" s="24"/>
      <c r="F107" s="24"/>
      <c r="G107" s="24"/>
      <c r="H107" s="24"/>
      <c r="I107" s="24"/>
      <c r="J107" s="24"/>
      <c r="K107" s="24"/>
      <c r="L107" s="24"/>
      <c r="M107" s="147"/>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row>
    <row r="108" spans="2:44">
      <c r="B108" s="24"/>
      <c r="C108" s="24"/>
      <c r="D108" s="24"/>
      <c r="E108" s="24"/>
      <c r="F108" s="24"/>
      <c r="G108" s="24"/>
      <c r="H108" s="24"/>
      <c r="I108" s="24"/>
      <c r="J108" s="24"/>
      <c r="K108" s="24"/>
      <c r="L108" s="24"/>
      <c r="M108" s="147"/>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row>
    <row r="109" spans="2:44">
      <c r="B109" s="23"/>
      <c r="C109" s="23"/>
      <c r="D109" s="23"/>
      <c r="E109" s="23"/>
      <c r="F109" s="23"/>
      <c r="G109" s="23"/>
      <c r="H109" s="23"/>
      <c r="I109" s="23"/>
      <c r="J109" s="23"/>
      <c r="K109" s="23"/>
      <c r="L109" s="23"/>
      <c r="M109" s="146"/>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row>
    <row r="110" spans="2:44">
      <c r="D110" s="23"/>
      <c r="E110" s="23"/>
      <c r="F110" s="23"/>
      <c r="G110" s="23"/>
      <c r="H110" s="23"/>
      <c r="I110" s="23"/>
      <c r="J110" s="23"/>
      <c r="K110" s="23"/>
      <c r="L110" s="23"/>
      <c r="M110" s="146"/>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row>
    <row r="111" spans="2:44">
      <c r="D111" s="24"/>
      <c r="E111" s="23"/>
      <c r="F111" s="23"/>
      <c r="G111" s="23"/>
      <c r="H111" s="23"/>
      <c r="I111" s="23"/>
      <c r="J111" s="23"/>
      <c r="K111" s="23"/>
      <c r="L111" s="23"/>
      <c r="M111" s="146"/>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row>
    <row r="112" spans="2:44">
      <c r="D112" s="24"/>
    </row>
    <row r="123" spans="4:44">
      <c r="D123" s="23"/>
      <c r="E123" s="23"/>
      <c r="F123" s="23"/>
      <c r="G123" s="23"/>
      <c r="H123" s="23"/>
      <c r="I123" s="23"/>
      <c r="J123" s="23"/>
      <c r="K123" s="23"/>
      <c r="L123" s="23"/>
      <c r="M123" s="146"/>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row>
    <row r="124" spans="4:44">
      <c r="E124" s="24"/>
      <c r="F124" s="24"/>
      <c r="G124" s="24"/>
      <c r="H124" s="24"/>
      <c r="I124" s="24"/>
      <c r="J124" s="24"/>
      <c r="K124" s="24"/>
      <c r="L124" s="24"/>
      <c r="M124" s="147"/>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row>
    <row r="125" spans="4:44">
      <c r="G125" s="23"/>
      <c r="H125" s="23"/>
      <c r="I125" s="23"/>
      <c r="J125" s="23"/>
      <c r="K125" s="23"/>
      <c r="L125" s="23"/>
      <c r="M125" s="146"/>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row>
    <row r="126" spans="4:44">
      <c r="G126" s="23"/>
      <c r="H126" s="23"/>
      <c r="I126" s="23"/>
      <c r="J126" s="23"/>
      <c r="K126" s="23"/>
      <c r="L126" s="23"/>
      <c r="M126" s="146"/>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row>
    <row r="127" spans="4:44">
      <c r="G127" s="23"/>
      <c r="H127" s="23"/>
      <c r="I127" s="23"/>
      <c r="J127" s="23"/>
      <c r="K127" s="23"/>
      <c r="L127" s="23"/>
      <c r="M127" s="146"/>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row>
    <row r="128" spans="4:44">
      <c r="G128" s="23"/>
      <c r="H128" s="23"/>
      <c r="I128" s="23"/>
      <c r="J128" s="23"/>
      <c r="K128" s="23"/>
      <c r="L128" s="23"/>
      <c r="M128" s="146"/>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row>
    <row r="129" spans="1:44">
      <c r="G129" s="23"/>
      <c r="H129" s="23"/>
      <c r="I129" s="23"/>
      <c r="J129" s="23"/>
      <c r="K129" s="23"/>
      <c r="L129" s="23"/>
      <c r="M129" s="146"/>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row>
    <row r="130" spans="1:44">
      <c r="G130" s="23"/>
      <c r="H130" s="23"/>
      <c r="I130" s="23"/>
      <c r="J130" s="23"/>
      <c r="K130" s="23"/>
      <c r="L130" s="23"/>
      <c r="M130" s="146"/>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row>
    <row r="131" spans="1:44">
      <c r="D131" s="24"/>
      <c r="E131" s="24"/>
      <c r="F131" s="24"/>
      <c r="G131" s="24"/>
      <c r="H131" s="24"/>
      <c r="I131" s="24"/>
      <c r="J131" s="24"/>
      <c r="K131" s="24"/>
      <c r="L131" s="24"/>
      <c r="M131" s="147"/>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row>
    <row r="133" spans="1:44">
      <c r="D133" s="23"/>
      <c r="E133" s="23"/>
      <c r="F133" s="23"/>
      <c r="G133" s="23"/>
      <c r="H133" s="23"/>
      <c r="I133" s="23"/>
      <c r="J133" s="23"/>
      <c r="K133" s="23"/>
      <c r="L133" s="23"/>
      <c r="M133" s="146"/>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row>
    <row r="134" spans="1:44">
      <c r="D134" s="23"/>
      <c r="E134" s="23"/>
      <c r="F134" s="23"/>
      <c r="G134" s="23"/>
      <c r="H134" s="23"/>
      <c r="I134" s="23"/>
      <c r="J134" s="23"/>
      <c r="K134" s="23"/>
      <c r="L134" s="23"/>
      <c r="M134" s="146"/>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row>
    <row r="135" spans="1:44">
      <c r="D135" s="23"/>
      <c r="E135" s="23"/>
      <c r="F135" s="23"/>
      <c r="G135" s="23"/>
      <c r="H135" s="23"/>
      <c r="I135" s="23"/>
      <c r="J135" s="23"/>
      <c r="K135" s="23"/>
      <c r="L135" s="23"/>
      <c r="M135" s="146"/>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row>
    <row r="136" spans="1:44">
      <c r="E136" s="24"/>
      <c r="F136" s="24"/>
      <c r="G136" s="24"/>
      <c r="H136" s="24"/>
      <c r="I136" s="24"/>
      <c r="J136" s="24"/>
      <c r="K136" s="24"/>
      <c r="L136" s="24"/>
      <c r="M136" s="147"/>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row>
    <row r="138" spans="1:4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row>
    <row r="139" spans="1:44">
      <c r="E139" s="26"/>
      <c r="F139" s="26"/>
      <c r="G139" s="26"/>
      <c r="H139" s="26"/>
      <c r="I139" s="26"/>
      <c r="J139" s="26"/>
      <c r="K139" s="26"/>
      <c r="L139" s="26"/>
      <c r="M139" s="148"/>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row>
    <row r="140" spans="1:44">
      <c r="E140" s="26"/>
    </row>
    <row r="143" spans="1:44">
      <c r="A143" s="27"/>
    </row>
    <row r="151" spans="4:44">
      <c r="D151" s="23"/>
      <c r="E151" s="23"/>
      <c r="F151" s="23"/>
      <c r="G151" s="23"/>
      <c r="H151" s="23"/>
      <c r="I151" s="23"/>
      <c r="J151" s="23"/>
      <c r="K151" s="23"/>
      <c r="L151" s="23"/>
      <c r="M151" s="146"/>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row>
    <row r="152" spans="4:44">
      <c r="E152" s="24"/>
      <c r="F152" s="24"/>
      <c r="G152" s="24"/>
      <c r="H152" s="24"/>
      <c r="I152" s="24"/>
      <c r="J152" s="24"/>
      <c r="K152" s="24"/>
      <c r="L152" s="24"/>
      <c r="M152" s="147"/>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row>
    <row r="153" spans="4:44">
      <c r="G153" s="23"/>
      <c r="H153" s="23"/>
      <c r="I153" s="23"/>
      <c r="J153" s="23"/>
      <c r="K153" s="23"/>
      <c r="L153" s="23"/>
      <c r="M153" s="146"/>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row>
    <row r="154" spans="4:44">
      <c r="G154" s="23"/>
      <c r="H154" s="23"/>
      <c r="I154" s="23"/>
      <c r="J154" s="23"/>
      <c r="K154" s="23"/>
      <c r="L154" s="23"/>
      <c r="M154" s="146"/>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row>
    <row r="155" spans="4:44">
      <c r="G155" s="23"/>
      <c r="H155" s="23"/>
      <c r="I155" s="23"/>
      <c r="J155" s="23"/>
      <c r="K155" s="23"/>
      <c r="L155" s="23"/>
      <c r="M155" s="146"/>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row>
    <row r="156" spans="4:44">
      <c r="G156" s="23"/>
      <c r="H156" s="23"/>
      <c r="I156" s="23"/>
      <c r="J156" s="23"/>
      <c r="K156" s="23"/>
      <c r="L156" s="23"/>
      <c r="M156" s="146"/>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row>
    <row r="157" spans="4:44">
      <c r="G157" s="23"/>
      <c r="H157" s="23"/>
      <c r="I157" s="23"/>
      <c r="J157" s="23"/>
      <c r="K157" s="23"/>
      <c r="L157" s="23"/>
      <c r="M157" s="146"/>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row>
    <row r="158" spans="4:44">
      <c r="G158" s="23"/>
      <c r="H158" s="23"/>
      <c r="I158" s="23"/>
      <c r="J158" s="23"/>
      <c r="K158" s="23"/>
      <c r="L158" s="23"/>
      <c r="M158" s="146"/>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row>
    <row r="159" spans="4:44">
      <c r="D159" s="24"/>
      <c r="E159" s="24"/>
      <c r="F159" s="24"/>
      <c r="G159" s="24"/>
      <c r="H159" s="24"/>
      <c r="I159" s="24"/>
      <c r="J159" s="24"/>
      <c r="K159" s="24"/>
      <c r="L159" s="24"/>
      <c r="M159" s="147"/>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row>
    <row r="161" spans="4:44">
      <c r="D161" s="23"/>
      <c r="E161" s="23"/>
      <c r="F161" s="23"/>
      <c r="G161" s="23"/>
      <c r="H161" s="23"/>
      <c r="I161" s="23"/>
      <c r="J161" s="23"/>
      <c r="K161" s="23"/>
      <c r="L161" s="23"/>
      <c r="M161" s="146"/>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row>
    <row r="162" spans="4:44">
      <c r="D162" s="23"/>
      <c r="E162" s="23"/>
      <c r="F162" s="23"/>
      <c r="G162" s="23"/>
      <c r="H162" s="23"/>
      <c r="I162" s="23"/>
      <c r="J162" s="23"/>
      <c r="K162" s="23"/>
      <c r="L162" s="23"/>
      <c r="M162" s="146"/>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row>
    <row r="163" spans="4:44">
      <c r="D163" s="23"/>
      <c r="E163" s="23"/>
      <c r="F163" s="23"/>
      <c r="G163" s="23"/>
      <c r="H163" s="23"/>
      <c r="I163" s="23"/>
      <c r="J163" s="23"/>
      <c r="K163" s="23"/>
      <c r="L163" s="23"/>
      <c r="M163" s="146"/>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row>
    <row r="164" spans="4:44">
      <c r="E164" s="24"/>
      <c r="F164" s="24"/>
      <c r="G164" s="24"/>
      <c r="H164" s="24"/>
      <c r="I164" s="24"/>
      <c r="J164" s="24"/>
      <c r="K164" s="24"/>
      <c r="L164" s="24"/>
      <c r="M164" s="147"/>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row>
    <row r="166" spans="4:4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row>
    <row r="167" spans="4:44">
      <c r="E167" s="26"/>
      <c r="F167" s="26"/>
      <c r="G167" s="26"/>
      <c r="H167" s="26"/>
      <c r="I167" s="26"/>
      <c r="J167" s="26"/>
      <c r="K167" s="26"/>
      <c r="L167" s="26"/>
      <c r="M167" s="148"/>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row>
    <row r="168" spans="4:44">
      <c r="E168" s="28"/>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413A4-7DB7-8C4C-9625-1D82BB16981B}">
  <sheetPr>
    <tabColor theme="5"/>
  </sheetPr>
  <dimension ref="A1:AT134"/>
  <sheetViews>
    <sheetView tabSelected="1" topLeftCell="A117" workbookViewId="0">
      <selection activeCell="E68" sqref="E68"/>
    </sheetView>
  </sheetViews>
  <sheetFormatPr baseColWidth="10" defaultRowHeight="21"/>
  <cols>
    <col min="1" max="1" width="10.83203125" style="153"/>
    <col min="2" max="2" width="35" customWidth="1"/>
    <col min="3" max="3" width="13.6640625" bestFit="1" customWidth="1"/>
    <col min="4" max="5" width="11.6640625" bestFit="1" customWidth="1"/>
    <col min="6" max="6" width="13.6640625" bestFit="1" customWidth="1"/>
    <col min="7" max="20" width="11.6640625" bestFit="1" customWidth="1"/>
    <col min="21" max="36" width="12.6640625" bestFit="1" customWidth="1"/>
    <col min="37" max="37" width="15" customWidth="1"/>
    <col min="38" max="38" width="12.83203125" customWidth="1"/>
    <col min="39" max="39" width="13" customWidth="1"/>
    <col min="40" max="40" width="12.6640625" customWidth="1"/>
    <col min="41" max="46" width="13.6640625" bestFit="1" customWidth="1"/>
  </cols>
  <sheetData>
    <row r="1" spans="1:8" ht="29">
      <c r="A1" s="140"/>
      <c r="B1" s="141" t="s">
        <v>337</v>
      </c>
      <c r="C1" s="139"/>
      <c r="D1" s="139"/>
      <c r="E1" s="139"/>
      <c r="F1" s="139"/>
    </row>
    <row r="2" spans="1:8" s="114" customFormat="1">
      <c r="A2" s="140"/>
      <c r="B2" s="114" t="s">
        <v>328</v>
      </c>
    </row>
    <row r="3" spans="1:8">
      <c r="A3" s="140"/>
    </row>
    <row r="4" spans="1:8">
      <c r="A4" s="140"/>
      <c r="B4" s="43" t="s">
        <v>329</v>
      </c>
      <c r="C4" s="156">
        <v>1</v>
      </c>
    </row>
    <row r="5" spans="1:8">
      <c r="A5" s="140"/>
      <c r="B5" s="43" t="s">
        <v>330</v>
      </c>
      <c r="C5" s="157">
        <f>'Case bonus'!A7/'Case bonus'!A6</f>
        <v>0.33333333333333331</v>
      </c>
    </row>
    <row r="6" spans="1:8">
      <c r="A6" s="140"/>
      <c r="B6" s="43" t="s">
        <v>331</v>
      </c>
      <c r="C6" s="157">
        <f>'Case bonus'!A8/'Case bonus'!A6</f>
        <v>0.13333333333333333</v>
      </c>
    </row>
    <row r="7" spans="1:8">
      <c r="A7" s="140"/>
      <c r="B7" s="43" t="s">
        <v>332</v>
      </c>
      <c r="C7" s="157">
        <f>'Case bonus'!A9/'Case bonus'!A6</f>
        <v>0.16666666666666666</v>
      </c>
    </row>
    <row r="8" spans="1:8">
      <c r="A8" s="140"/>
      <c r="B8" s="43" t="s">
        <v>333</v>
      </c>
      <c r="C8" s="157">
        <f>'Case bonus'!A10/'Case bonus'!A6</f>
        <v>6.6666666666666666E-2</v>
      </c>
    </row>
    <row r="9" spans="1:8">
      <c r="A9" s="140"/>
      <c r="B9" s="43" t="s">
        <v>334</v>
      </c>
      <c r="C9" s="157">
        <f>'Case bonus'!A11/'Case bonus'!A6</f>
        <v>6.6666666666666666E-2</v>
      </c>
      <c r="E9" t="s">
        <v>350</v>
      </c>
      <c r="G9" s="21">
        <f>SUM(C5:C9)</f>
        <v>0.76666666666666661</v>
      </c>
      <c r="H9" t="s">
        <v>351</v>
      </c>
    </row>
    <row r="10" spans="1:8">
      <c r="A10" s="140"/>
      <c r="B10" s="43" t="s">
        <v>335</v>
      </c>
      <c r="C10" s="156">
        <f>C4-SUM(C5:C9)</f>
        <v>0.23333333333333339</v>
      </c>
    </row>
    <row r="11" spans="1:8">
      <c r="A11" s="140"/>
    </row>
    <row r="12" spans="1:8" s="114" customFormat="1">
      <c r="A12" s="140" t="s">
        <v>338</v>
      </c>
      <c r="B12" s="114" t="s">
        <v>336</v>
      </c>
    </row>
    <row r="13" spans="1:8">
      <c r="A13" s="140"/>
      <c r="B13" s="149" t="s">
        <v>86</v>
      </c>
      <c r="C13" s="149">
        <v>2017</v>
      </c>
      <c r="D13" s="149">
        <v>2018</v>
      </c>
      <c r="E13" s="149">
        <v>2019</v>
      </c>
    </row>
    <row r="14" spans="1:8">
      <c r="A14" s="140"/>
      <c r="B14" s="142" t="s">
        <v>329</v>
      </c>
      <c r="C14" s="142">
        <f>12*('Case bonus'!$A14)</f>
        <v>144000</v>
      </c>
      <c r="D14" s="142">
        <f xml:space="preserve"> 12*('Case bonus'!$A14+1000)</f>
        <v>156000</v>
      </c>
      <c r="E14" s="142">
        <f xml:space="preserve"> 12*('Case bonus'!$A14+1000*2)</f>
        <v>168000</v>
      </c>
    </row>
    <row r="15" spans="1:8">
      <c r="A15" s="140"/>
      <c r="B15" s="142" t="s">
        <v>339</v>
      </c>
      <c r="C15" s="142">
        <f>C14*'Case bonus'!$A17</f>
        <v>28800</v>
      </c>
      <c r="D15" s="142">
        <f>D14*'Case bonus'!$A17</f>
        <v>31200</v>
      </c>
      <c r="E15" s="142">
        <f>E14*'Case bonus'!$A17</f>
        <v>33600</v>
      </c>
    </row>
    <row r="16" spans="1:8">
      <c r="A16" s="140"/>
      <c r="B16" s="142" t="s">
        <v>145</v>
      </c>
      <c r="C16" s="142">
        <f>C14+C15</f>
        <v>172800</v>
      </c>
      <c r="D16" s="142">
        <f>D14+D15</f>
        <v>187200</v>
      </c>
      <c r="E16" s="142">
        <f>E14+E15</f>
        <v>201600</v>
      </c>
    </row>
    <row r="17" spans="1:46">
      <c r="A17" s="140"/>
      <c r="B17" s="142" t="s">
        <v>138</v>
      </c>
      <c r="C17" s="142">
        <f>C16*'Case bonus'!$A19</f>
        <v>33696</v>
      </c>
      <c r="D17" s="142">
        <f>D16*'Case bonus'!$A19</f>
        <v>36504</v>
      </c>
      <c r="E17" s="142">
        <f>E16*'Case bonus'!$A19</f>
        <v>39312</v>
      </c>
    </row>
    <row r="18" spans="1:46">
      <c r="A18" s="140"/>
      <c r="B18" s="143" t="s">
        <v>340</v>
      </c>
      <c r="C18" s="142">
        <f>('Case bonus'!$A7+'Case bonus'!$A8+'Case bonus'!$A9+'Case bonus'!$A10+'Case bonus'!$A11)*12</f>
        <v>138000</v>
      </c>
      <c r="D18" s="142">
        <f>('Case bonus'!$A7+'Case bonus'!$A8+'Case bonus'!$A9+'Case bonus'!$A10+'Case bonus'!$A11)*12</f>
        <v>138000</v>
      </c>
      <c r="E18" s="142">
        <f>('Case bonus'!$A7+'Case bonus'!$A8+'Case bonus'!$A9+'Case bonus'!$A10+'Case bonus'!$A11)*12</f>
        <v>138000</v>
      </c>
    </row>
    <row r="19" spans="1:46">
      <c r="A19" s="140"/>
      <c r="B19" s="150" t="s">
        <v>366</v>
      </c>
      <c r="C19" s="150">
        <f>C16-C17-C18</f>
        <v>1104</v>
      </c>
      <c r="D19" s="150">
        <f>D16-D17-D18</f>
        <v>12696</v>
      </c>
      <c r="E19" s="150">
        <f>E16-E17-E18</f>
        <v>24288</v>
      </c>
    </row>
    <row r="20" spans="1:46">
      <c r="A20" s="140"/>
      <c r="B20" s="143" t="s">
        <v>365</v>
      </c>
      <c r="C20" s="142">
        <f>C19</f>
        <v>1104</v>
      </c>
      <c r="D20" s="142">
        <f>C20+D19</f>
        <v>13800</v>
      </c>
      <c r="E20" s="142">
        <f>D20+E19</f>
        <v>38088</v>
      </c>
    </row>
    <row r="21" spans="1:46">
      <c r="A21" s="140"/>
      <c r="B21" s="150" t="s">
        <v>346</v>
      </c>
      <c r="C21" s="151">
        <f>0</f>
        <v>0</v>
      </c>
      <c r="D21" s="151">
        <f>(C20+C21)*10%</f>
        <v>110.4</v>
      </c>
      <c r="E21" s="151">
        <f>(D20+D21)*10%</f>
        <v>1391.04</v>
      </c>
    </row>
    <row r="22" spans="1:46">
      <c r="A22" s="140"/>
      <c r="B22" s="143" t="s">
        <v>347</v>
      </c>
      <c r="C22" s="142">
        <f>C21</f>
        <v>0</v>
      </c>
      <c r="D22" s="142">
        <f>C22+D21</f>
        <v>110.4</v>
      </c>
      <c r="E22" s="142">
        <f>D22+E21</f>
        <v>1501.44</v>
      </c>
    </row>
    <row r="23" spans="1:46">
      <c r="A23" s="140"/>
      <c r="B23" s="150" t="s">
        <v>341</v>
      </c>
      <c r="C23" s="150">
        <f>C19+C21</f>
        <v>1104</v>
      </c>
      <c r="D23" s="150">
        <f t="shared" ref="D23:E23" si="0">D19+D21</f>
        <v>12806.4</v>
      </c>
      <c r="E23" s="150">
        <f t="shared" si="0"/>
        <v>25679.040000000001</v>
      </c>
      <c r="F23" s="104"/>
    </row>
    <row r="24" spans="1:46" s="114" customFormat="1">
      <c r="A24" s="140" t="s">
        <v>342</v>
      </c>
      <c r="B24" s="114" t="s">
        <v>343</v>
      </c>
      <c r="F24" s="144">
        <f>SUM(C23:E23)</f>
        <v>39589.440000000002</v>
      </c>
    </row>
    <row r="25" spans="1:46" s="114" customFormat="1">
      <c r="A25" s="140" t="s">
        <v>344</v>
      </c>
      <c r="B25" s="114" t="s">
        <v>345</v>
      </c>
      <c r="F25" s="144">
        <f>F24</f>
        <v>39589.440000000002</v>
      </c>
    </row>
    <row r="27" spans="1:46" s="114" customFormat="1">
      <c r="A27" s="152" t="s">
        <v>349</v>
      </c>
      <c r="B27" s="114" t="s">
        <v>348</v>
      </c>
    </row>
    <row r="28" spans="1:46" s="114" customFormat="1">
      <c r="A28" s="152" t="s">
        <v>354</v>
      </c>
      <c r="B28" s="172" t="s">
        <v>375</v>
      </c>
    </row>
    <row r="29" spans="1:46" s="114" customFormat="1">
      <c r="A29" s="152" t="s">
        <v>355</v>
      </c>
      <c r="B29" s="172" t="s">
        <v>357</v>
      </c>
    </row>
    <row r="30" spans="1:46" s="154" customFormat="1">
      <c r="A30" s="152"/>
      <c r="B30" s="171" t="s">
        <v>353</v>
      </c>
      <c r="C30" s="170">
        <v>0.2</v>
      </c>
      <c r="F30" s="174" t="s">
        <v>361</v>
      </c>
    </row>
    <row r="31" spans="1:46">
      <c r="B31" s="168" t="s">
        <v>352</v>
      </c>
      <c r="C31" s="173" t="s">
        <v>360</v>
      </c>
      <c r="D31" s="173"/>
      <c r="E31" s="173"/>
      <c r="F31" s="79">
        <v>1</v>
      </c>
      <c r="G31">
        <v>2</v>
      </c>
      <c r="H31">
        <v>3</v>
      </c>
      <c r="I31">
        <v>4</v>
      </c>
      <c r="J31">
        <v>5</v>
      </c>
      <c r="K31">
        <v>6</v>
      </c>
      <c r="L31">
        <v>7</v>
      </c>
      <c r="M31">
        <v>8</v>
      </c>
      <c r="N31">
        <v>9</v>
      </c>
      <c r="O31">
        <v>10</v>
      </c>
      <c r="P31">
        <v>11</v>
      </c>
      <c r="Q31">
        <v>12</v>
      </c>
      <c r="R31">
        <v>13</v>
      </c>
      <c r="S31">
        <v>14</v>
      </c>
      <c r="T31">
        <v>15</v>
      </c>
      <c r="U31">
        <v>16</v>
      </c>
      <c r="V31">
        <v>17</v>
      </c>
      <c r="W31">
        <v>18</v>
      </c>
      <c r="X31">
        <v>19</v>
      </c>
      <c r="Y31">
        <v>20</v>
      </c>
      <c r="Z31">
        <v>21</v>
      </c>
      <c r="AA31">
        <v>22</v>
      </c>
      <c r="AB31">
        <v>23</v>
      </c>
      <c r="AC31">
        <v>24</v>
      </c>
      <c r="AD31">
        <v>25</v>
      </c>
      <c r="AE31">
        <v>26</v>
      </c>
      <c r="AF31">
        <v>27</v>
      </c>
      <c r="AG31">
        <v>28</v>
      </c>
      <c r="AH31">
        <v>29</v>
      </c>
      <c r="AI31">
        <v>30</v>
      </c>
      <c r="AJ31">
        <v>31</v>
      </c>
      <c r="AK31">
        <v>32</v>
      </c>
      <c r="AL31">
        <v>33</v>
      </c>
      <c r="AM31">
        <v>34</v>
      </c>
      <c r="AN31">
        <v>35</v>
      </c>
      <c r="AO31">
        <v>36</v>
      </c>
      <c r="AP31">
        <v>37</v>
      </c>
      <c r="AQ31">
        <v>38</v>
      </c>
      <c r="AR31">
        <v>39</v>
      </c>
      <c r="AS31">
        <v>40</v>
      </c>
    </row>
    <row r="32" spans="1:46" s="155" customFormat="1">
      <c r="A32" s="153"/>
      <c r="B32" s="161" t="s">
        <v>86</v>
      </c>
      <c r="C32" s="162">
        <v>2017</v>
      </c>
      <c r="D32" s="162">
        <v>2018</v>
      </c>
      <c r="E32" s="162">
        <v>2019</v>
      </c>
      <c r="F32" s="175">
        <v>2020</v>
      </c>
      <c r="G32" s="162">
        <v>2021</v>
      </c>
      <c r="H32" s="162">
        <v>2022</v>
      </c>
      <c r="I32" s="162">
        <v>2023</v>
      </c>
      <c r="J32" s="162">
        <v>2024</v>
      </c>
      <c r="K32" s="162">
        <v>2025</v>
      </c>
      <c r="L32" s="162">
        <v>2026</v>
      </c>
      <c r="M32" s="162">
        <v>2027</v>
      </c>
      <c r="N32" s="162">
        <v>2028</v>
      </c>
      <c r="O32" s="162">
        <v>2029</v>
      </c>
      <c r="P32" s="162">
        <v>2030</v>
      </c>
      <c r="Q32" s="162">
        <v>2031</v>
      </c>
      <c r="R32" s="162">
        <v>2032</v>
      </c>
      <c r="S32" s="162">
        <v>2033</v>
      </c>
      <c r="T32" s="162">
        <v>2034</v>
      </c>
      <c r="U32" s="162">
        <v>2035</v>
      </c>
      <c r="V32" s="162">
        <v>2036</v>
      </c>
      <c r="W32" s="162">
        <v>2037</v>
      </c>
      <c r="X32" s="162">
        <v>2038</v>
      </c>
      <c r="Y32" s="162">
        <v>2039</v>
      </c>
      <c r="Z32" s="162">
        <v>2040</v>
      </c>
      <c r="AA32" s="162">
        <v>2041</v>
      </c>
      <c r="AB32" s="162">
        <v>2042</v>
      </c>
      <c r="AC32" s="162">
        <v>2043</v>
      </c>
      <c r="AD32" s="162">
        <v>2044</v>
      </c>
      <c r="AE32" s="162">
        <v>2045</v>
      </c>
      <c r="AF32" s="162">
        <v>2046</v>
      </c>
      <c r="AG32" s="162">
        <v>2047</v>
      </c>
      <c r="AH32" s="162">
        <v>2048</v>
      </c>
      <c r="AI32" s="162">
        <v>2049</v>
      </c>
      <c r="AJ32" s="162">
        <v>2050</v>
      </c>
      <c r="AK32" s="162">
        <v>2051</v>
      </c>
      <c r="AL32" s="162">
        <v>2052</v>
      </c>
      <c r="AM32" s="162">
        <v>2053</v>
      </c>
      <c r="AN32" s="162">
        <v>2054</v>
      </c>
      <c r="AO32" s="162">
        <v>2055</v>
      </c>
      <c r="AP32" s="162">
        <v>2056</v>
      </c>
      <c r="AQ32" s="162">
        <v>2057</v>
      </c>
      <c r="AR32" s="162">
        <v>2058</v>
      </c>
      <c r="AS32" s="162">
        <v>2059</v>
      </c>
      <c r="AT32" s="162"/>
    </row>
    <row r="33" spans="1:46">
      <c r="B33" s="163" t="s">
        <v>329</v>
      </c>
      <c r="C33" s="163">
        <v>144000</v>
      </c>
      <c r="D33" s="163">
        <v>156000</v>
      </c>
      <c r="E33" s="163">
        <v>168000</v>
      </c>
      <c r="F33" s="165">
        <f>12*15000</f>
        <v>180000</v>
      </c>
      <c r="G33" s="163">
        <f>F33*105%</f>
        <v>189000</v>
      </c>
      <c r="H33" s="163">
        <f>G33*105%</f>
        <v>198450</v>
      </c>
      <c r="I33" s="163">
        <f>H33*105%</f>
        <v>208372.5</v>
      </c>
      <c r="J33" s="163">
        <f t="shared" ref="J33:AS33" si="1">I33*105%</f>
        <v>218791.125</v>
      </c>
      <c r="K33" s="163">
        <f t="shared" si="1"/>
        <v>229730.68125000002</v>
      </c>
      <c r="L33" s="163">
        <f>K33*105%</f>
        <v>241217.21531250005</v>
      </c>
      <c r="M33" s="163">
        <f t="shared" si="1"/>
        <v>253278.07607812507</v>
      </c>
      <c r="N33" s="163">
        <f t="shared" si="1"/>
        <v>265941.97988203133</v>
      </c>
      <c r="O33" s="163">
        <f t="shared" si="1"/>
        <v>279239.0788761329</v>
      </c>
      <c r="P33" s="163">
        <f t="shared" si="1"/>
        <v>293201.03281993954</v>
      </c>
      <c r="Q33" s="163">
        <f t="shared" si="1"/>
        <v>307861.08446093654</v>
      </c>
      <c r="R33" s="163">
        <f t="shared" si="1"/>
        <v>323254.13868398336</v>
      </c>
      <c r="S33" s="163">
        <f t="shared" si="1"/>
        <v>339416.84561818256</v>
      </c>
      <c r="T33" s="163">
        <f t="shared" si="1"/>
        <v>356387.68789909169</v>
      </c>
      <c r="U33" s="163">
        <f t="shared" si="1"/>
        <v>374207.07229404629</v>
      </c>
      <c r="V33" s="163">
        <f t="shared" si="1"/>
        <v>392917.42590874864</v>
      </c>
      <c r="W33" s="163">
        <f t="shared" si="1"/>
        <v>412563.29720418609</v>
      </c>
      <c r="X33" s="163">
        <f t="shared" si="1"/>
        <v>433191.46206439543</v>
      </c>
      <c r="Y33" s="163">
        <f t="shared" si="1"/>
        <v>454851.03516761522</v>
      </c>
      <c r="Z33" s="163">
        <f t="shared" si="1"/>
        <v>477593.586925996</v>
      </c>
      <c r="AA33" s="163">
        <f t="shared" si="1"/>
        <v>501473.26627229585</v>
      </c>
      <c r="AB33" s="163">
        <f t="shared" si="1"/>
        <v>526546.92958591064</v>
      </c>
      <c r="AC33" s="163">
        <f t="shared" si="1"/>
        <v>552874.27606520616</v>
      </c>
      <c r="AD33" s="163">
        <f t="shared" si="1"/>
        <v>580517.98986846651</v>
      </c>
      <c r="AE33" s="163">
        <f t="shared" si="1"/>
        <v>609543.88936188992</v>
      </c>
      <c r="AF33" s="163">
        <f t="shared" si="1"/>
        <v>640021.08382998442</v>
      </c>
      <c r="AG33" s="163">
        <f t="shared" si="1"/>
        <v>672022.13802148367</v>
      </c>
      <c r="AH33" s="163">
        <f t="shared" si="1"/>
        <v>705623.24492255785</v>
      </c>
      <c r="AI33" s="163">
        <f t="shared" si="1"/>
        <v>740904.40716868581</v>
      </c>
      <c r="AJ33" s="163">
        <f t="shared" si="1"/>
        <v>777949.62752712017</v>
      </c>
      <c r="AK33" s="163">
        <f t="shared" si="1"/>
        <v>816847.10890347627</v>
      </c>
      <c r="AL33" s="163">
        <f t="shared" si="1"/>
        <v>857689.46434865007</v>
      </c>
      <c r="AM33" s="163">
        <f t="shared" si="1"/>
        <v>900573.93756608258</v>
      </c>
      <c r="AN33" s="163">
        <f t="shared" si="1"/>
        <v>945602.6344443867</v>
      </c>
      <c r="AO33" s="163">
        <f t="shared" si="1"/>
        <v>992882.7661666061</v>
      </c>
      <c r="AP33" s="163">
        <f t="shared" si="1"/>
        <v>1042526.9044749364</v>
      </c>
      <c r="AQ33" s="163">
        <f t="shared" si="1"/>
        <v>1094653.2496986834</v>
      </c>
      <c r="AR33" s="163">
        <f t="shared" si="1"/>
        <v>1149385.9121836177</v>
      </c>
      <c r="AS33" s="163">
        <f t="shared" si="1"/>
        <v>1206855.2077927988</v>
      </c>
      <c r="AT33" s="163"/>
    </row>
    <row r="34" spans="1:46">
      <c r="B34" s="163" t="s">
        <v>339</v>
      </c>
      <c r="C34" s="163">
        <v>28800</v>
      </c>
      <c r="D34" s="163">
        <v>31200</v>
      </c>
      <c r="E34" s="163">
        <v>33600</v>
      </c>
      <c r="F34" s="166">
        <f>F33*20%</f>
        <v>36000</v>
      </c>
      <c r="G34" s="163">
        <f>G33*20%</f>
        <v>37800</v>
      </c>
      <c r="H34" s="163">
        <f t="shared" ref="H34:AS34" si="2">H33*20%</f>
        <v>39690</v>
      </c>
      <c r="I34" s="163">
        <f t="shared" si="2"/>
        <v>41674.5</v>
      </c>
      <c r="J34" s="163">
        <f t="shared" si="2"/>
        <v>43758.225000000006</v>
      </c>
      <c r="K34" s="163">
        <f t="shared" si="2"/>
        <v>45946.13625000001</v>
      </c>
      <c r="L34" s="163">
        <f t="shared" si="2"/>
        <v>48243.44306250001</v>
      </c>
      <c r="M34" s="163">
        <f t="shared" si="2"/>
        <v>50655.615215625017</v>
      </c>
      <c r="N34" s="163">
        <f t="shared" si="2"/>
        <v>53188.395976406267</v>
      </c>
      <c r="O34" s="163">
        <f t="shared" si="2"/>
        <v>55847.815775226583</v>
      </c>
      <c r="P34" s="163">
        <f t="shared" si="2"/>
        <v>58640.206563987915</v>
      </c>
      <c r="Q34" s="163">
        <f t="shared" si="2"/>
        <v>61572.216892187309</v>
      </c>
      <c r="R34" s="163">
        <f t="shared" si="2"/>
        <v>64650.827736796673</v>
      </c>
      <c r="S34" s="163">
        <f t="shared" si="2"/>
        <v>67883.369123636512</v>
      </c>
      <c r="T34" s="163">
        <f t="shared" si="2"/>
        <v>71277.537579818338</v>
      </c>
      <c r="U34" s="163">
        <f t="shared" si="2"/>
        <v>74841.41445880926</v>
      </c>
      <c r="V34" s="163">
        <f t="shared" si="2"/>
        <v>78583.485181749726</v>
      </c>
      <c r="W34" s="163">
        <f t="shared" si="2"/>
        <v>82512.659440837218</v>
      </c>
      <c r="X34" s="163">
        <f t="shared" si="2"/>
        <v>86638.292412879091</v>
      </c>
      <c r="Y34" s="163">
        <f t="shared" si="2"/>
        <v>90970.207033523053</v>
      </c>
      <c r="Z34" s="163">
        <f t="shared" si="2"/>
        <v>95518.717385199212</v>
      </c>
      <c r="AA34" s="163">
        <f t="shared" si="2"/>
        <v>100294.65325445918</v>
      </c>
      <c r="AB34" s="163">
        <f t="shared" si="2"/>
        <v>105309.38591718214</v>
      </c>
      <c r="AC34" s="163">
        <f t="shared" si="2"/>
        <v>110574.85521304124</v>
      </c>
      <c r="AD34" s="163">
        <f t="shared" si="2"/>
        <v>116103.59797369331</v>
      </c>
      <c r="AE34" s="163">
        <f t="shared" si="2"/>
        <v>121908.77787237799</v>
      </c>
      <c r="AF34" s="163">
        <f t="shared" si="2"/>
        <v>128004.21676599688</v>
      </c>
      <c r="AG34" s="163">
        <f t="shared" si="2"/>
        <v>134404.42760429674</v>
      </c>
      <c r="AH34" s="163">
        <f t="shared" si="2"/>
        <v>141124.64898451159</v>
      </c>
      <c r="AI34" s="163">
        <f t="shared" si="2"/>
        <v>148180.88143373717</v>
      </c>
      <c r="AJ34" s="163">
        <f t="shared" si="2"/>
        <v>155589.92550542403</v>
      </c>
      <c r="AK34" s="163">
        <f t="shared" si="2"/>
        <v>163369.42178069527</v>
      </c>
      <c r="AL34" s="163">
        <f t="shared" si="2"/>
        <v>171537.89286973001</v>
      </c>
      <c r="AM34" s="163">
        <f t="shared" si="2"/>
        <v>180114.78751321652</v>
      </c>
      <c r="AN34" s="163">
        <f t="shared" si="2"/>
        <v>189120.52688887736</v>
      </c>
      <c r="AO34" s="163">
        <f t="shared" si="2"/>
        <v>198576.55323332123</v>
      </c>
      <c r="AP34" s="163">
        <f t="shared" si="2"/>
        <v>208505.38089498729</v>
      </c>
      <c r="AQ34" s="163">
        <f t="shared" si="2"/>
        <v>218930.6499397367</v>
      </c>
      <c r="AR34" s="163">
        <f t="shared" si="2"/>
        <v>229877.18243672355</v>
      </c>
      <c r="AS34" s="163">
        <f t="shared" si="2"/>
        <v>241371.04155855975</v>
      </c>
      <c r="AT34" s="163"/>
    </row>
    <row r="35" spans="1:46">
      <c r="B35" s="163" t="s">
        <v>145</v>
      </c>
      <c r="C35" s="163">
        <v>172800</v>
      </c>
      <c r="D35" s="163">
        <v>187200</v>
      </c>
      <c r="E35" s="163">
        <v>201600</v>
      </c>
      <c r="F35" s="166">
        <f>F33+F34</f>
        <v>216000</v>
      </c>
      <c r="G35" s="163">
        <f t="shared" ref="G35:AS35" si="3">G33+G34</f>
        <v>226800</v>
      </c>
      <c r="H35" s="163">
        <f t="shared" si="3"/>
        <v>238140</v>
      </c>
      <c r="I35" s="163">
        <f t="shared" si="3"/>
        <v>250047</v>
      </c>
      <c r="J35" s="163">
        <f t="shared" si="3"/>
        <v>262549.34999999998</v>
      </c>
      <c r="K35" s="163">
        <f t="shared" si="3"/>
        <v>275676.8175</v>
      </c>
      <c r="L35" s="163">
        <f t="shared" si="3"/>
        <v>289460.65837500006</v>
      </c>
      <c r="M35" s="163">
        <f t="shared" si="3"/>
        <v>303933.69129375007</v>
      </c>
      <c r="N35" s="163">
        <f t="shared" si="3"/>
        <v>319130.37585843762</v>
      </c>
      <c r="O35" s="163">
        <f t="shared" si="3"/>
        <v>335086.89465135947</v>
      </c>
      <c r="P35" s="163">
        <f t="shared" si="3"/>
        <v>351841.23938392743</v>
      </c>
      <c r="Q35" s="163">
        <f t="shared" si="3"/>
        <v>369433.30135312385</v>
      </c>
      <c r="R35" s="163">
        <f t="shared" si="3"/>
        <v>387904.96642078005</v>
      </c>
      <c r="S35" s="163">
        <f t="shared" si="3"/>
        <v>407300.21474181907</v>
      </c>
      <c r="T35" s="163">
        <f t="shared" si="3"/>
        <v>427665.22547891003</v>
      </c>
      <c r="U35" s="163">
        <f t="shared" si="3"/>
        <v>449048.48675285553</v>
      </c>
      <c r="V35" s="163">
        <f t="shared" si="3"/>
        <v>471500.91109049838</v>
      </c>
      <c r="W35" s="163">
        <f t="shared" si="3"/>
        <v>495075.95664502331</v>
      </c>
      <c r="X35" s="163">
        <f t="shared" si="3"/>
        <v>519829.75447727449</v>
      </c>
      <c r="Y35" s="163">
        <f t="shared" si="3"/>
        <v>545821.24220113829</v>
      </c>
      <c r="Z35" s="163">
        <f t="shared" si="3"/>
        <v>573112.30431119516</v>
      </c>
      <c r="AA35" s="163">
        <f t="shared" si="3"/>
        <v>601767.91952675499</v>
      </c>
      <c r="AB35" s="163">
        <f t="shared" si="3"/>
        <v>631856.31550309272</v>
      </c>
      <c r="AC35" s="163">
        <f t="shared" si="3"/>
        <v>663449.13127824734</v>
      </c>
      <c r="AD35" s="163">
        <f t="shared" si="3"/>
        <v>696621.58784215979</v>
      </c>
      <c r="AE35" s="163">
        <f t="shared" si="3"/>
        <v>731452.66723426792</v>
      </c>
      <c r="AF35" s="163">
        <f t="shared" si="3"/>
        <v>768025.3005959813</v>
      </c>
      <c r="AG35" s="163">
        <f t="shared" si="3"/>
        <v>806426.56562578038</v>
      </c>
      <c r="AH35" s="163">
        <f t="shared" si="3"/>
        <v>846747.89390706946</v>
      </c>
      <c r="AI35" s="163">
        <f t="shared" si="3"/>
        <v>889085.28860242292</v>
      </c>
      <c r="AJ35" s="163">
        <f t="shared" si="3"/>
        <v>933539.55303254421</v>
      </c>
      <c r="AK35" s="163">
        <f t="shared" si="3"/>
        <v>980216.53068417148</v>
      </c>
      <c r="AL35" s="163">
        <f t="shared" si="3"/>
        <v>1029227.3572183801</v>
      </c>
      <c r="AM35" s="163">
        <f t="shared" si="3"/>
        <v>1080688.7250792992</v>
      </c>
      <c r="AN35" s="163">
        <f t="shared" si="3"/>
        <v>1134723.1613332641</v>
      </c>
      <c r="AO35" s="163">
        <f t="shared" si="3"/>
        <v>1191459.3193999273</v>
      </c>
      <c r="AP35" s="163">
        <f t="shared" si="3"/>
        <v>1251032.2853699238</v>
      </c>
      <c r="AQ35" s="163">
        <f t="shared" si="3"/>
        <v>1313583.89963842</v>
      </c>
      <c r="AR35" s="163">
        <f t="shared" si="3"/>
        <v>1379263.0946203412</v>
      </c>
      <c r="AS35" s="163">
        <f t="shared" si="3"/>
        <v>1448226.2493513585</v>
      </c>
      <c r="AT35" s="163"/>
    </row>
    <row r="36" spans="1:46">
      <c r="B36" s="163" t="s">
        <v>138</v>
      </c>
      <c r="C36" s="163">
        <v>33696</v>
      </c>
      <c r="D36" s="163">
        <v>36504</v>
      </c>
      <c r="E36" s="163">
        <v>39312</v>
      </c>
      <c r="F36" s="166">
        <f>F35*19.5%</f>
        <v>42120</v>
      </c>
      <c r="G36" s="163">
        <f t="shared" ref="G36:AS36" si="4">G35*19.5%</f>
        <v>44226</v>
      </c>
      <c r="H36" s="163">
        <f t="shared" si="4"/>
        <v>46437.3</v>
      </c>
      <c r="I36" s="163">
        <f t="shared" si="4"/>
        <v>48759.165000000001</v>
      </c>
      <c r="J36" s="163">
        <f t="shared" si="4"/>
        <v>51197.123249999997</v>
      </c>
      <c r="K36" s="163">
        <f t="shared" si="4"/>
        <v>53756.979412500004</v>
      </c>
      <c r="L36" s="163">
        <f t="shared" si="4"/>
        <v>56444.828383125016</v>
      </c>
      <c r="M36" s="163">
        <f t="shared" si="4"/>
        <v>59267.069802281265</v>
      </c>
      <c r="N36" s="163">
        <f t="shared" si="4"/>
        <v>62230.423292395339</v>
      </c>
      <c r="O36" s="163">
        <f t="shared" si="4"/>
        <v>65341.944457015103</v>
      </c>
      <c r="P36" s="163">
        <f t="shared" si="4"/>
        <v>68609.041679865855</v>
      </c>
      <c r="Q36" s="163">
        <f t="shared" si="4"/>
        <v>72039.493763859151</v>
      </c>
      <c r="R36" s="163">
        <f t="shared" si="4"/>
        <v>75641.468452052111</v>
      </c>
      <c r="S36" s="163">
        <f t="shared" si="4"/>
        <v>79423.541874654722</v>
      </c>
      <c r="T36" s="163">
        <f t="shared" si="4"/>
        <v>83394.71896838746</v>
      </c>
      <c r="U36" s="163">
        <f t="shared" si="4"/>
        <v>87564.454916806833</v>
      </c>
      <c r="V36" s="163">
        <f t="shared" si="4"/>
        <v>91942.677662647184</v>
      </c>
      <c r="W36" s="163">
        <f t="shared" si="4"/>
        <v>96539.81154577955</v>
      </c>
      <c r="X36" s="163">
        <f t="shared" si="4"/>
        <v>101366.80212306853</v>
      </c>
      <c r="Y36" s="163">
        <f t="shared" si="4"/>
        <v>106435.14222922196</v>
      </c>
      <c r="Z36" s="163">
        <f t="shared" si="4"/>
        <v>111756.89934068306</v>
      </c>
      <c r="AA36" s="163">
        <f t="shared" si="4"/>
        <v>117344.74430771722</v>
      </c>
      <c r="AB36" s="163">
        <f t="shared" si="4"/>
        <v>123211.98152310308</v>
      </c>
      <c r="AC36" s="163">
        <f t="shared" si="4"/>
        <v>129372.58059925823</v>
      </c>
      <c r="AD36" s="163">
        <f t="shared" si="4"/>
        <v>135841.20962922115</v>
      </c>
      <c r="AE36" s="163">
        <f t="shared" si="4"/>
        <v>142633.27011068226</v>
      </c>
      <c r="AF36" s="163">
        <f t="shared" si="4"/>
        <v>149764.93361621635</v>
      </c>
      <c r="AG36" s="163">
        <f t="shared" si="4"/>
        <v>157253.18029702717</v>
      </c>
      <c r="AH36" s="163">
        <f t="shared" si="4"/>
        <v>165115.83931187855</v>
      </c>
      <c r="AI36" s="163">
        <f t="shared" si="4"/>
        <v>173371.63127747248</v>
      </c>
      <c r="AJ36" s="163">
        <f t="shared" si="4"/>
        <v>182040.21284134613</v>
      </c>
      <c r="AK36" s="163">
        <f t="shared" si="4"/>
        <v>191142.22348341346</v>
      </c>
      <c r="AL36" s="163">
        <f t="shared" si="4"/>
        <v>200699.33465758411</v>
      </c>
      <c r="AM36" s="163">
        <f t="shared" si="4"/>
        <v>210734.30139046334</v>
      </c>
      <c r="AN36" s="163">
        <f t="shared" si="4"/>
        <v>221271.01645998651</v>
      </c>
      <c r="AO36" s="163">
        <f t="shared" si="4"/>
        <v>232334.56728298584</v>
      </c>
      <c r="AP36" s="163">
        <f t="shared" si="4"/>
        <v>243951.29564713515</v>
      </c>
      <c r="AQ36" s="163">
        <f t="shared" si="4"/>
        <v>256148.86042949191</v>
      </c>
      <c r="AR36" s="163">
        <f t="shared" si="4"/>
        <v>268956.30345096654</v>
      </c>
      <c r="AS36" s="163">
        <f t="shared" si="4"/>
        <v>282404.11862351489</v>
      </c>
      <c r="AT36" s="163"/>
    </row>
    <row r="37" spans="1:46">
      <c r="B37" s="163" t="s">
        <v>340</v>
      </c>
      <c r="C37" s="163">
        <v>138000</v>
      </c>
      <c r="D37" s="163">
        <v>138000</v>
      </c>
      <c r="E37" s="163">
        <v>138000</v>
      </c>
      <c r="F37" s="166">
        <f>E37</f>
        <v>138000</v>
      </c>
      <c r="G37" s="163">
        <f>G33*$G9</f>
        <v>144900</v>
      </c>
      <c r="H37" s="163">
        <f>H33*$G9</f>
        <v>152145</v>
      </c>
      <c r="I37" s="163">
        <f>I33*$G9</f>
        <v>159752.25</v>
      </c>
      <c r="J37" s="163">
        <f>J33*$G9</f>
        <v>167739.86249999999</v>
      </c>
      <c r="K37" s="163">
        <f>K33*$G9</f>
        <v>176126.855625</v>
      </c>
      <c r="L37" s="163">
        <f>L33*$G9</f>
        <v>184933.19840625001</v>
      </c>
      <c r="M37" s="163">
        <f>M33*$G9</f>
        <v>194179.85832656253</v>
      </c>
      <c r="N37" s="163">
        <f>N33*$G9</f>
        <v>203888.85124289067</v>
      </c>
      <c r="O37" s="163">
        <f>O33*$G9</f>
        <v>214083.29380503521</v>
      </c>
      <c r="P37" s="163">
        <f>P33*$G9</f>
        <v>224787.45849528696</v>
      </c>
      <c r="Q37" s="163">
        <f>Q33*$G9</f>
        <v>236026.83142005134</v>
      </c>
      <c r="R37" s="163">
        <f>R33*$G9</f>
        <v>247828.1729910539</v>
      </c>
      <c r="S37" s="163">
        <f>S33*$G9</f>
        <v>260219.5816406066</v>
      </c>
      <c r="T37" s="163">
        <f>T33*$G9</f>
        <v>273230.56072263693</v>
      </c>
      <c r="U37" s="163">
        <f>U33*$G9</f>
        <v>286892.0887587688</v>
      </c>
      <c r="V37" s="163">
        <f>V33*$G9</f>
        <v>301236.69319670729</v>
      </c>
      <c r="W37" s="163">
        <f>W33*$G9</f>
        <v>316298.52785654267</v>
      </c>
      <c r="X37" s="163">
        <f>X33*$G9</f>
        <v>332113.4542493698</v>
      </c>
      <c r="Y37" s="163">
        <f>Y33*$G9</f>
        <v>348719.12696183834</v>
      </c>
      <c r="Z37" s="163">
        <f>Z33*$G9</f>
        <v>366155.08330993023</v>
      </c>
      <c r="AA37" s="163">
        <f>AA33*$G9</f>
        <v>384462.83747542679</v>
      </c>
      <c r="AB37" s="163">
        <f>AB33*$G9</f>
        <v>403685.97934919811</v>
      </c>
      <c r="AC37" s="163">
        <f>AC33*$G9</f>
        <v>423870.27831665805</v>
      </c>
      <c r="AD37" s="163">
        <f>AD33*$G9</f>
        <v>445063.79223249096</v>
      </c>
      <c r="AE37" s="163">
        <f>AE33*$G9</f>
        <v>467316.98184411559</v>
      </c>
      <c r="AF37" s="163">
        <f>AF33*$G9</f>
        <v>490682.83093632135</v>
      </c>
      <c r="AG37" s="163">
        <f>AG33*$G9</f>
        <v>515216.97248313745</v>
      </c>
      <c r="AH37" s="163">
        <f>AH33*$G9</f>
        <v>540977.82110729429</v>
      </c>
      <c r="AI37" s="163">
        <f>AI33*$G9</f>
        <v>568026.71216265904</v>
      </c>
      <c r="AJ37" s="163">
        <f>AJ33*$G9</f>
        <v>596428.04777079204</v>
      </c>
      <c r="AK37" s="163">
        <f>AK33*$G9</f>
        <v>626249.45015933178</v>
      </c>
      <c r="AL37" s="163">
        <f>AL33*$G9</f>
        <v>657561.92266729835</v>
      </c>
      <c r="AM37" s="163">
        <f>AM33*$G9</f>
        <v>690440.0188006633</v>
      </c>
      <c r="AN37" s="163">
        <f>AN33*$G9</f>
        <v>724962.01974069641</v>
      </c>
      <c r="AO37" s="163">
        <f>AO33*$G9</f>
        <v>761210.12072773126</v>
      </c>
      <c r="AP37" s="163">
        <f>AP33*$G9</f>
        <v>799270.62676411786</v>
      </c>
      <c r="AQ37" s="163">
        <f>AQ33*$G9</f>
        <v>839234.15810232388</v>
      </c>
      <c r="AR37" s="163">
        <f>AR33*$G9</f>
        <v>881195.86600744014</v>
      </c>
      <c r="AS37" s="163">
        <f>AS33*$G9</f>
        <v>925255.65930781234</v>
      </c>
      <c r="AT37" s="163"/>
    </row>
    <row r="38" spans="1:46" s="158" customFormat="1">
      <c r="A38" s="169"/>
      <c r="B38" s="160" t="s">
        <v>364</v>
      </c>
      <c r="C38" s="160">
        <f>C35-C36-C37</f>
        <v>1104</v>
      </c>
      <c r="D38" s="160">
        <f>D35-D36-D37</f>
        <v>12696</v>
      </c>
      <c r="E38" s="160">
        <f>E35-E36-E37</f>
        <v>24288</v>
      </c>
      <c r="F38" s="167">
        <f t="shared" ref="F38:AS38" si="5">F35-F36-F37</f>
        <v>35880</v>
      </c>
      <c r="G38" s="160">
        <f t="shared" si="5"/>
        <v>37674</v>
      </c>
      <c r="H38" s="160">
        <f t="shared" si="5"/>
        <v>39557.700000000012</v>
      </c>
      <c r="I38" s="160">
        <f t="shared" si="5"/>
        <v>41535.584999999992</v>
      </c>
      <c r="J38" s="160">
        <f t="shared" si="5"/>
        <v>43612.364249999984</v>
      </c>
      <c r="K38" s="160">
        <f t="shared" si="5"/>
        <v>45792.982462500018</v>
      </c>
      <c r="L38" s="160">
        <f t="shared" si="5"/>
        <v>48082.631585625029</v>
      </c>
      <c r="M38" s="160">
        <f t="shared" si="5"/>
        <v>50486.763164906268</v>
      </c>
      <c r="N38" s="160">
        <f t="shared" si="5"/>
        <v>53011.101323151612</v>
      </c>
      <c r="O38" s="160">
        <f t="shared" si="5"/>
        <v>55661.656389309181</v>
      </c>
      <c r="P38" s="160">
        <f t="shared" si="5"/>
        <v>58444.739208774612</v>
      </c>
      <c r="Q38" s="160">
        <f t="shared" si="5"/>
        <v>61366.976169213362</v>
      </c>
      <c r="R38" s="160">
        <f t="shared" si="5"/>
        <v>64435.324977674056</v>
      </c>
      <c r="S38" s="160">
        <f t="shared" si="5"/>
        <v>67657.091226557764</v>
      </c>
      <c r="T38" s="160">
        <f t="shared" si="5"/>
        <v>71039.945787885634</v>
      </c>
      <c r="U38" s="160">
        <f t="shared" si="5"/>
        <v>74591.943077279895</v>
      </c>
      <c r="V38" s="160">
        <f t="shared" si="5"/>
        <v>78321.540231143939</v>
      </c>
      <c r="W38" s="160">
        <f t="shared" si="5"/>
        <v>82237.617242701061</v>
      </c>
      <c r="X38" s="160">
        <f t="shared" si="5"/>
        <v>86349.498104836151</v>
      </c>
      <c r="Y38" s="160">
        <f t="shared" si="5"/>
        <v>90666.973010077956</v>
      </c>
      <c r="Z38" s="160">
        <f t="shared" si="5"/>
        <v>95200.32166058186</v>
      </c>
      <c r="AA38" s="160">
        <f t="shared" si="5"/>
        <v>99960.337743611017</v>
      </c>
      <c r="AB38" s="160">
        <f t="shared" si="5"/>
        <v>104958.35463079152</v>
      </c>
      <c r="AC38" s="160">
        <f t="shared" si="5"/>
        <v>110206.2723623311</v>
      </c>
      <c r="AD38" s="160">
        <f t="shared" si="5"/>
        <v>115716.58598044771</v>
      </c>
      <c r="AE38" s="160">
        <f t="shared" si="5"/>
        <v>121502.41527947009</v>
      </c>
      <c r="AF38" s="160">
        <f t="shared" si="5"/>
        <v>127577.53604344366</v>
      </c>
      <c r="AG38" s="160">
        <f t="shared" si="5"/>
        <v>133956.41284561571</v>
      </c>
      <c r="AH38" s="160">
        <f t="shared" si="5"/>
        <v>140654.23348789662</v>
      </c>
      <c r="AI38" s="160">
        <f t="shared" si="5"/>
        <v>147686.94516229141</v>
      </c>
      <c r="AJ38" s="160">
        <f t="shared" si="5"/>
        <v>155071.29242040601</v>
      </c>
      <c r="AK38" s="160">
        <f t="shared" si="5"/>
        <v>162824.85704142624</v>
      </c>
      <c r="AL38" s="160">
        <f t="shared" si="5"/>
        <v>170966.09989349765</v>
      </c>
      <c r="AM38" s="160">
        <f t="shared" si="5"/>
        <v>179514.40488817252</v>
      </c>
      <c r="AN38" s="160">
        <f t="shared" si="5"/>
        <v>188490.1251325811</v>
      </c>
      <c r="AO38" s="160">
        <f t="shared" si="5"/>
        <v>197914.63138921012</v>
      </c>
      <c r="AP38" s="160">
        <f t="shared" si="5"/>
        <v>207810.36295867083</v>
      </c>
      <c r="AQ38" s="160">
        <f t="shared" si="5"/>
        <v>218200.88110660424</v>
      </c>
      <c r="AR38" s="160">
        <f t="shared" si="5"/>
        <v>229110.92516193457</v>
      </c>
      <c r="AS38" s="160">
        <f t="shared" si="5"/>
        <v>240566.47142003127</v>
      </c>
      <c r="AT38" s="160"/>
    </row>
    <row r="39" spans="1:46">
      <c r="B39" s="164" t="s">
        <v>365</v>
      </c>
      <c r="C39" s="163">
        <f>C38</f>
        <v>1104</v>
      </c>
      <c r="D39" s="163">
        <f>C39+D38</f>
        <v>13800</v>
      </c>
      <c r="E39" s="163">
        <f>D39+E38</f>
        <v>38088</v>
      </c>
      <c r="F39" s="166">
        <f t="shared" ref="F39:AS39" si="6">E39+F38</f>
        <v>73968</v>
      </c>
      <c r="G39" s="163">
        <f t="shared" si="6"/>
        <v>111642</v>
      </c>
      <c r="H39" s="163">
        <f t="shared" si="6"/>
        <v>151199.70000000001</v>
      </c>
      <c r="I39" s="163">
        <f>H39+I38</f>
        <v>192735.285</v>
      </c>
      <c r="J39" s="163">
        <f t="shared" si="6"/>
        <v>236347.64924999999</v>
      </c>
      <c r="K39" s="163">
        <f t="shared" si="6"/>
        <v>282140.63171250001</v>
      </c>
      <c r="L39" s="163">
        <f>K39+L38</f>
        <v>330223.26329812501</v>
      </c>
      <c r="M39" s="163">
        <f t="shared" si="6"/>
        <v>380710.0264630313</v>
      </c>
      <c r="N39" s="163">
        <f t="shared" si="6"/>
        <v>433721.12778618291</v>
      </c>
      <c r="O39" s="163">
        <f t="shared" si="6"/>
        <v>489382.78417549212</v>
      </c>
      <c r="P39" s="163">
        <f t="shared" si="6"/>
        <v>547827.52338426677</v>
      </c>
      <c r="Q39" s="163">
        <f t="shared" si="6"/>
        <v>609194.49955348019</v>
      </c>
      <c r="R39" s="163">
        <f t="shared" si="6"/>
        <v>673629.82453115424</v>
      </c>
      <c r="S39" s="163">
        <f t="shared" si="6"/>
        <v>741286.91575771198</v>
      </c>
      <c r="T39" s="163">
        <f t="shared" si="6"/>
        <v>812326.86154559767</v>
      </c>
      <c r="U39" s="163">
        <f t="shared" si="6"/>
        <v>886918.80462287762</v>
      </c>
      <c r="V39" s="163">
        <f t="shared" si="6"/>
        <v>965240.34485402156</v>
      </c>
      <c r="W39" s="163">
        <f t="shared" si="6"/>
        <v>1047477.9620967226</v>
      </c>
      <c r="X39" s="163">
        <f t="shared" si="6"/>
        <v>1133827.4602015587</v>
      </c>
      <c r="Y39" s="163">
        <f t="shared" si="6"/>
        <v>1224494.4332116367</v>
      </c>
      <c r="Z39" s="163">
        <f t="shared" si="6"/>
        <v>1319694.7548722187</v>
      </c>
      <c r="AA39" s="163">
        <f t="shared" si="6"/>
        <v>1419655.0926158298</v>
      </c>
      <c r="AB39" s="163">
        <f t="shared" si="6"/>
        <v>1524613.4472466214</v>
      </c>
      <c r="AC39" s="163">
        <f t="shared" si="6"/>
        <v>1634819.7196089525</v>
      </c>
      <c r="AD39" s="163">
        <f t="shared" si="6"/>
        <v>1750536.3055894002</v>
      </c>
      <c r="AE39" s="163">
        <f t="shared" si="6"/>
        <v>1872038.7208688704</v>
      </c>
      <c r="AF39" s="163">
        <f t="shared" si="6"/>
        <v>1999616.2569123141</v>
      </c>
      <c r="AG39" s="163">
        <f t="shared" si="6"/>
        <v>2133572.6697579296</v>
      </c>
      <c r="AH39" s="163">
        <f t="shared" si="6"/>
        <v>2274226.9032458263</v>
      </c>
      <c r="AI39" s="163">
        <f t="shared" si="6"/>
        <v>2421913.8484081179</v>
      </c>
      <c r="AJ39" s="163">
        <f t="shared" si="6"/>
        <v>2576985.1408285238</v>
      </c>
      <c r="AK39" s="163">
        <f t="shared" si="6"/>
        <v>2739809.9978699498</v>
      </c>
      <c r="AL39" s="163">
        <f t="shared" si="6"/>
        <v>2910776.0977634476</v>
      </c>
      <c r="AM39" s="163">
        <f t="shared" si="6"/>
        <v>3090290.5026516202</v>
      </c>
      <c r="AN39" s="163">
        <f t="shared" si="6"/>
        <v>3278780.6277842014</v>
      </c>
      <c r="AO39" s="163">
        <f t="shared" si="6"/>
        <v>3476695.2591734114</v>
      </c>
      <c r="AP39" s="163">
        <f t="shared" si="6"/>
        <v>3684505.6221320825</v>
      </c>
      <c r="AQ39" s="163">
        <f t="shared" si="6"/>
        <v>3902706.5032386868</v>
      </c>
      <c r="AR39" s="163">
        <f t="shared" si="6"/>
        <v>4131817.4284006213</v>
      </c>
      <c r="AS39" s="163">
        <f t="shared" si="6"/>
        <v>4372383.8998206528</v>
      </c>
      <c r="AT39" s="163"/>
    </row>
    <row r="40" spans="1:46" s="158" customFormat="1">
      <c r="A40" s="153"/>
      <c r="B40" s="160" t="s">
        <v>346</v>
      </c>
      <c r="C40" s="160">
        <f>0</f>
        <v>0</v>
      </c>
      <c r="D40" s="160">
        <f>(C39+C41)*10%</f>
        <v>110.4</v>
      </c>
      <c r="E40" s="160">
        <f>(D39+D41)*10%</f>
        <v>1391.04</v>
      </c>
      <c r="F40" s="167">
        <f t="shared" ref="F40:AS40" si="7">(E39+E41)*10%</f>
        <v>3958.9440000000004</v>
      </c>
      <c r="G40" s="160">
        <f t="shared" si="7"/>
        <v>7942.8384000000005</v>
      </c>
      <c r="H40" s="160">
        <f t="shared" si="7"/>
        <v>12504.52224</v>
      </c>
      <c r="I40" s="160">
        <f>(H39+H41)*10%</f>
        <v>17710.744463999999</v>
      </c>
      <c r="J40" s="160">
        <f t="shared" si="7"/>
        <v>23635.377410400004</v>
      </c>
      <c r="K40" s="160">
        <f t="shared" si="7"/>
        <v>30360.151576440003</v>
      </c>
      <c r="L40" s="160">
        <f>(K39+K41)*10%</f>
        <v>37975.464980334</v>
      </c>
      <c r="M40" s="160">
        <f t="shared" si="7"/>
        <v>46581.274636929906</v>
      </c>
      <c r="N40" s="160">
        <f t="shared" si="7"/>
        <v>56288.078417113516</v>
      </c>
      <c r="O40" s="160">
        <f t="shared" si="7"/>
        <v>67217.996391140041</v>
      </c>
      <c r="P40" s="160">
        <f t="shared" si="7"/>
        <v>79505.961669184966</v>
      </c>
      <c r="Q40" s="160">
        <f t="shared" si="7"/>
        <v>93301.031756980927</v>
      </c>
      <c r="R40" s="160">
        <f t="shared" si="7"/>
        <v>108767.83254960035</v>
      </c>
      <c r="S40" s="160">
        <f t="shared" si="7"/>
        <v>126088.1483023278</v>
      </c>
      <c r="T40" s="160">
        <f t="shared" si="7"/>
        <v>145462.67225521637</v>
      </c>
      <c r="U40" s="160">
        <f t="shared" si="7"/>
        <v>167112.93405952657</v>
      </c>
      <c r="V40" s="160">
        <f t="shared" si="7"/>
        <v>191283.42177320723</v>
      </c>
      <c r="W40" s="160">
        <f t="shared" si="7"/>
        <v>218243.91797364235</v>
      </c>
      <c r="X40" s="160">
        <f t="shared" si="7"/>
        <v>248292.0714952767</v>
      </c>
      <c r="Y40" s="160">
        <f t="shared" si="7"/>
        <v>281756.22845528799</v>
      </c>
      <c r="Z40" s="160">
        <f t="shared" si="7"/>
        <v>318998.54860182456</v>
      </c>
      <c r="AA40" s="160">
        <f t="shared" si="7"/>
        <v>360418.4356280652</v>
      </c>
      <c r="AB40" s="160">
        <f t="shared" si="7"/>
        <v>406456.31296523288</v>
      </c>
      <c r="AC40" s="160">
        <f t="shared" si="7"/>
        <v>457597.77972483524</v>
      </c>
      <c r="AD40" s="160">
        <f t="shared" si="7"/>
        <v>514378.18493355199</v>
      </c>
      <c r="AE40" s="160">
        <f t="shared" si="7"/>
        <v>577387.66202495189</v>
      </c>
      <c r="AF40" s="160">
        <f t="shared" si="7"/>
        <v>647276.6697553941</v>
      </c>
      <c r="AG40" s="160">
        <f t="shared" si="7"/>
        <v>724762.09033527796</v>
      </c>
      <c r="AH40" s="160">
        <f t="shared" si="7"/>
        <v>810633.94065336732</v>
      </c>
      <c r="AI40" s="160">
        <f t="shared" si="7"/>
        <v>905762.75806749356</v>
      </c>
      <c r="AJ40" s="160">
        <f t="shared" si="7"/>
        <v>1011107.728390472</v>
      </c>
      <c r="AK40" s="160">
        <f t="shared" si="7"/>
        <v>1127725.6304715599</v>
      </c>
      <c r="AL40" s="160">
        <f t="shared" si="7"/>
        <v>1256780.6792228585</v>
      </c>
      <c r="AM40" s="160">
        <f t="shared" si="7"/>
        <v>1399555.357134494</v>
      </c>
      <c r="AN40" s="160">
        <f t="shared" si="7"/>
        <v>1557462.333336761</v>
      </c>
      <c r="AO40" s="160">
        <f t="shared" si="7"/>
        <v>1732057.5791836951</v>
      </c>
      <c r="AP40" s="160">
        <f t="shared" si="7"/>
        <v>1925054.8002409858</v>
      </c>
      <c r="AQ40" s="160">
        <f t="shared" si="7"/>
        <v>2138341.3165609515</v>
      </c>
      <c r="AR40" s="160">
        <f t="shared" si="7"/>
        <v>2373995.5363277066</v>
      </c>
      <c r="AS40" s="160">
        <f t="shared" si="7"/>
        <v>2634306.1824766714</v>
      </c>
      <c r="AT40" s="160"/>
    </row>
    <row r="41" spans="1:46">
      <c r="B41" s="164" t="s">
        <v>347</v>
      </c>
      <c r="C41" s="163">
        <f>C40</f>
        <v>0</v>
      </c>
      <c r="D41" s="163">
        <f>C41+D40</f>
        <v>110.4</v>
      </c>
      <c r="E41" s="163">
        <f>D41+E40</f>
        <v>1501.44</v>
      </c>
      <c r="F41" s="166">
        <f t="shared" ref="F41:AS41" si="8">E41+F40</f>
        <v>5460.384</v>
      </c>
      <c r="G41" s="163">
        <f t="shared" si="8"/>
        <v>13403.222400000001</v>
      </c>
      <c r="H41" s="163">
        <f t="shared" si="8"/>
        <v>25907.744640000001</v>
      </c>
      <c r="I41" s="163">
        <f>H41+I40</f>
        <v>43618.489104</v>
      </c>
      <c r="J41" s="163">
        <f t="shared" si="8"/>
        <v>67253.866514399997</v>
      </c>
      <c r="K41" s="163">
        <f t="shared" si="8"/>
        <v>97614.018090839993</v>
      </c>
      <c r="L41" s="163">
        <f>K41+L40</f>
        <v>135589.48307117401</v>
      </c>
      <c r="M41" s="163">
        <f t="shared" si="8"/>
        <v>182170.75770810392</v>
      </c>
      <c r="N41" s="163">
        <f t="shared" si="8"/>
        <v>238458.83612521744</v>
      </c>
      <c r="O41" s="163">
        <f t="shared" si="8"/>
        <v>305676.83251635748</v>
      </c>
      <c r="P41" s="163">
        <f t="shared" si="8"/>
        <v>385182.79418554244</v>
      </c>
      <c r="Q41" s="163">
        <f t="shared" si="8"/>
        <v>478483.82594252337</v>
      </c>
      <c r="R41" s="163">
        <f t="shared" si="8"/>
        <v>587251.65849212371</v>
      </c>
      <c r="S41" s="163">
        <f t="shared" si="8"/>
        <v>713339.80679445155</v>
      </c>
      <c r="T41" s="163">
        <f t="shared" si="8"/>
        <v>858802.47904966795</v>
      </c>
      <c r="U41" s="163">
        <f t="shared" si="8"/>
        <v>1025915.4131091945</v>
      </c>
      <c r="V41" s="163">
        <f t="shared" si="8"/>
        <v>1217198.8348824016</v>
      </c>
      <c r="W41" s="163">
        <f t="shared" si="8"/>
        <v>1435442.7528560441</v>
      </c>
      <c r="X41" s="163">
        <f t="shared" si="8"/>
        <v>1683734.8243513207</v>
      </c>
      <c r="Y41" s="163">
        <f t="shared" si="8"/>
        <v>1965491.0528066088</v>
      </c>
      <c r="Z41" s="163">
        <f t="shared" si="8"/>
        <v>2284489.6014084332</v>
      </c>
      <c r="AA41" s="163">
        <f t="shared" si="8"/>
        <v>2644908.0370364985</v>
      </c>
      <c r="AB41" s="163">
        <f t="shared" si="8"/>
        <v>3051364.3500017314</v>
      </c>
      <c r="AC41" s="163">
        <f t="shared" si="8"/>
        <v>3508962.1297265668</v>
      </c>
      <c r="AD41" s="163">
        <f t="shared" si="8"/>
        <v>4023340.3146601189</v>
      </c>
      <c r="AE41" s="163">
        <f t="shared" si="8"/>
        <v>4600727.9766850704</v>
      </c>
      <c r="AF41" s="163">
        <f t="shared" si="8"/>
        <v>5248004.646440465</v>
      </c>
      <c r="AG41" s="163">
        <f t="shared" si="8"/>
        <v>5972766.7367757428</v>
      </c>
      <c r="AH41" s="163">
        <f t="shared" si="8"/>
        <v>6783400.6774291098</v>
      </c>
      <c r="AI41" s="163">
        <f t="shared" si="8"/>
        <v>7689163.4354966031</v>
      </c>
      <c r="AJ41" s="163">
        <f t="shared" si="8"/>
        <v>8700271.1638870761</v>
      </c>
      <c r="AK41" s="163">
        <f t="shared" si="8"/>
        <v>9827996.7943586353</v>
      </c>
      <c r="AL41" s="163">
        <f t="shared" si="8"/>
        <v>11084777.473581493</v>
      </c>
      <c r="AM41" s="163">
        <f t="shared" si="8"/>
        <v>12484332.830715988</v>
      </c>
      <c r="AN41" s="163">
        <f t="shared" si="8"/>
        <v>14041795.164052749</v>
      </c>
      <c r="AO41" s="163">
        <f t="shared" si="8"/>
        <v>15773852.743236445</v>
      </c>
      <c r="AP41" s="163">
        <f t="shared" si="8"/>
        <v>17698907.543477431</v>
      </c>
      <c r="AQ41" s="163">
        <f t="shared" si="8"/>
        <v>19837248.860038381</v>
      </c>
      <c r="AR41" s="163">
        <f t="shared" si="8"/>
        <v>22211244.39636609</v>
      </c>
      <c r="AS41" s="163">
        <f t="shared" si="8"/>
        <v>24845550.578842759</v>
      </c>
      <c r="AT41" s="163"/>
    </row>
    <row r="42" spans="1:46" s="158" customFormat="1">
      <c r="A42" s="153"/>
      <c r="B42" s="160" t="s">
        <v>341</v>
      </c>
      <c r="C42" s="160">
        <f>C38+C40</f>
        <v>1104</v>
      </c>
      <c r="D42" s="160">
        <f>D38+D40</f>
        <v>12806.4</v>
      </c>
      <c r="E42" s="160">
        <f>E38+E40</f>
        <v>25679.040000000001</v>
      </c>
      <c r="F42" s="167">
        <f t="shared" ref="F42:AS42" si="9">F38+F40</f>
        <v>39838.944000000003</v>
      </c>
      <c r="G42" s="160">
        <f t="shared" si="9"/>
        <v>45616.838400000001</v>
      </c>
      <c r="H42" s="160">
        <f>H38+H40</f>
        <v>52062.22224000001</v>
      </c>
      <c r="I42" s="160">
        <f t="shared" si="9"/>
        <v>59246.329463999995</v>
      </c>
      <c r="J42" s="160">
        <f t="shared" si="9"/>
        <v>67247.741660399988</v>
      </c>
      <c r="K42" s="160">
        <f t="shared" si="9"/>
        <v>76153.134038940014</v>
      </c>
      <c r="L42" s="160">
        <f t="shared" si="9"/>
        <v>86058.096565959029</v>
      </c>
      <c r="M42" s="160">
        <f t="shared" si="9"/>
        <v>97068.037801836181</v>
      </c>
      <c r="N42" s="160">
        <f t="shared" si="9"/>
        <v>109299.17974026513</v>
      </c>
      <c r="O42" s="160">
        <f t="shared" si="9"/>
        <v>122879.65278044922</v>
      </c>
      <c r="P42" s="160">
        <f t="shared" si="9"/>
        <v>137950.70087795958</v>
      </c>
      <c r="Q42" s="160">
        <f t="shared" si="9"/>
        <v>154668.00792619429</v>
      </c>
      <c r="R42" s="160">
        <f t="shared" si="9"/>
        <v>173203.15752727439</v>
      </c>
      <c r="S42" s="160">
        <f t="shared" si="9"/>
        <v>193745.23952888558</v>
      </c>
      <c r="T42" s="160">
        <f t="shared" si="9"/>
        <v>216502.618043102</v>
      </c>
      <c r="U42" s="160">
        <f t="shared" si="9"/>
        <v>241704.87713680646</v>
      </c>
      <c r="V42" s="160">
        <f t="shared" si="9"/>
        <v>269604.9620043512</v>
      </c>
      <c r="W42" s="160">
        <f t="shared" si="9"/>
        <v>300481.53521634341</v>
      </c>
      <c r="X42" s="160">
        <f t="shared" si="9"/>
        <v>334641.56960011285</v>
      </c>
      <c r="Y42" s="160">
        <f t="shared" si="9"/>
        <v>372423.20146536594</v>
      </c>
      <c r="Z42" s="160">
        <f t="shared" si="9"/>
        <v>414198.87026240642</v>
      </c>
      <c r="AA42" s="160">
        <f t="shared" si="9"/>
        <v>460378.77337167622</v>
      </c>
      <c r="AB42" s="160">
        <f t="shared" si="9"/>
        <v>511414.6675960244</v>
      </c>
      <c r="AC42" s="160">
        <f t="shared" si="9"/>
        <v>567804.05208716635</v>
      </c>
      <c r="AD42" s="160">
        <f t="shared" si="9"/>
        <v>630094.77091399976</v>
      </c>
      <c r="AE42" s="160">
        <f t="shared" si="9"/>
        <v>698890.07730442192</v>
      </c>
      <c r="AF42" s="160">
        <f t="shared" si="9"/>
        <v>774854.20579883782</v>
      </c>
      <c r="AG42" s="160">
        <f t="shared" si="9"/>
        <v>858718.5031808936</v>
      </c>
      <c r="AH42" s="160">
        <f t="shared" si="9"/>
        <v>951288.17414126394</v>
      </c>
      <c r="AI42" s="160">
        <f t="shared" si="9"/>
        <v>1053449.703229785</v>
      </c>
      <c r="AJ42" s="160">
        <f t="shared" si="9"/>
        <v>1166179.0208108779</v>
      </c>
      <c r="AK42" s="160">
        <f t="shared" si="9"/>
        <v>1290550.4875129862</v>
      </c>
      <c r="AL42" s="160">
        <f t="shared" si="9"/>
        <v>1427746.7791163563</v>
      </c>
      <c r="AM42" s="160">
        <f t="shared" si="9"/>
        <v>1579069.7620226666</v>
      </c>
      <c r="AN42" s="160">
        <f t="shared" si="9"/>
        <v>1745952.458469342</v>
      </c>
      <c r="AO42" s="160">
        <f t="shared" si="9"/>
        <v>1929972.2105729054</v>
      </c>
      <c r="AP42" s="160">
        <f t="shared" si="9"/>
        <v>2132865.1631996566</v>
      </c>
      <c r="AQ42" s="160">
        <f t="shared" si="9"/>
        <v>2356542.1976675559</v>
      </c>
      <c r="AR42" s="160">
        <f>AR38+AR40</f>
        <v>2603106.4614896411</v>
      </c>
      <c r="AS42" s="160">
        <f t="shared" si="9"/>
        <v>2874872.6538967025</v>
      </c>
      <c r="AT42" s="160"/>
    </row>
    <row r="43" spans="1:46" s="158" customFormat="1">
      <c r="A43" s="153"/>
      <c r="B43" s="160" t="s">
        <v>358</v>
      </c>
      <c r="F43" s="176">
        <f>PV($C30,F31,0,F38)*-1</f>
        <v>29900</v>
      </c>
      <c r="G43" s="177">
        <f t="shared" ref="G43:AS43" si="10">PV($C30,G31,0,G38)*-1</f>
        <v>26162.5</v>
      </c>
      <c r="H43" s="177">
        <f t="shared" si="10"/>
        <v>22892.187500000007</v>
      </c>
      <c r="I43" s="177">
        <f t="shared" si="10"/>
        <v>20030.664062499996</v>
      </c>
      <c r="J43" s="177">
        <f t="shared" si="10"/>
        <v>17526.831054687496</v>
      </c>
      <c r="K43" s="177">
        <f t="shared" si="10"/>
        <v>15335.97717285157</v>
      </c>
      <c r="L43" s="177">
        <f t="shared" si="10"/>
        <v>13418.980026245126</v>
      </c>
      <c r="M43" s="177">
        <f t="shared" si="10"/>
        <v>11741.607522964483</v>
      </c>
      <c r="N43" s="177">
        <f t="shared" si="10"/>
        <v>10273.906582593929</v>
      </c>
      <c r="O43" s="177">
        <f t="shared" si="10"/>
        <v>8989.6682597696854</v>
      </c>
      <c r="P43" s="177">
        <f t="shared" si="10"/>
        <v>7865.959727298472</v>
      </c>
      <c r="Q43" s="177">
        <f t="shared" si="10"/>
        <v>6882.7147613861653</v>
      </c>
      <c r="R43" s="177">
        <f t="shared" si="10"/>
        <v>6022.3754162128971</v>
      </c>
      <c r="S43" s="177">
        <f t="shared" si="10"/>
        <v>5269.5784891862859</v>
      </c>
      <c r="T43" s="177">
        <f t="shared" si="10"/>
        <v>4610.8811780379983</v>
      </c>
      <c r="U43" s="177">
        <f t="shared" si="10"/>
        <v>4034.5210307832481</v>
      </c>
      <c r="V43" s="177">
        <f t="shared" si="10"/>
        <v>3530.2059019353442</v>
      </c>
      <c r="W43" s="177">
        <f t="shared" si="10"/>
        <v>3088.9301641934235</v>
      </c>
      <c r="X43" s="177">
        <f t="shared" si="10"/>
        <v>2702.8138936692467</v>
      </c>
      <c r="Y43" s="177">
        <f t="shared" si="10"/>
        <v>2364.9621569605906</v>
      </c>
      <c r="Z43" s="177">
        <f t="shared" si="10"/>
        <v>2069.3418873405171</v>
      </c>
      <c r="AA43" s="177">
        <f t="shared" si="10"/>
        <v>1810.6741514229539</v>
      </c>
      <c r="AB43" s="177">
        <f t="shared" si="10"/>
        <v>1584.3398824950839</v>
      </c>
      <c r="AC43" s="177">
        <f t="shared" si="10"/>
        <v>1386.2973971831987</v>
      </c>
      <c r="AD43" s="177">
        <f t="shared" si="10"/>
        <v>1213.0102225352991</v>
      </c>
      <c r="AE43" s="177">
        <f t="shared" si="10"/>
        <v>1061.3839447183868</v>
      </c>
      <c r="AF43" s="177">
        <f t="shared" si="10"/>
        <v>928.71095162858887</v>
      </c>
      <c r="AG43" s="177">
        <f t="shared" si="10"/>
        <v>812.62208267501444</v>
      </c>
      <c r="AH43" s="177">
        <f t="shared" si="10"/>
        <v>711.04432234063836</v>
      </c>
      <c r="AI43" s="177">
        <f t="shared" si="10"/>
        <v>622.16378204805835</v>
      </c>
      <c r="AJ43" s="177">
        <f t="shared" si="10"/>
        <v>544.39330929205119</v>
      </c>
      <c r="AK43" s="177">
        <f t="shared" si="10"/>
        <v>476.34414563054469</v>
      </c>
      <c r="AL43" s="177">
        <f t="shared" si="10"/>
        <v>416.80112742672685</v>
      </c>
      <c r="AM43" s="177">
        <f t="shared" si="10"/>
        <v>364.70098649838599</v>
      </c>
      <c r="AN43" s="177">
        <f t="shared" si="10"/>
        <v>319.11336318608767</v>
      </c>
      <c r="AO43" s="177">
        <f t="shared" si="10"/>
        <v>279.22419278782667</v>
      </c>
      <c r="AP43" s="177">
        <f t="shared" si="10"/>
        <v>244.32116868934855</v>
      </c>
      <c r="AQ43" s="177">
        <f t="shared" si="10"/>
        <v>213.78102260317988</v>
      </c>
      <c r="AR43" s="177">
        <f t="shared" si="10"/>
        <v>187.0583947777825</v>
      </c>
      <c r="AS43" s="177">
        <f t="shared" si="10"/>
        <v>163.67609543055966</v>
      </c>
    </row>
    <row r="44" spans="1:46" s="158" customFormat="1">
      <c r="A44" s="153"/>
      <c r="B44" s="160" t="s">
        <v>359</v>
      </c>
      <c r="F44" s="178">
        <f>-PV($C30,F31,0,F40)</f>
        <v>3299.1200000000003</v>
      </c>
      <c r="G44" s="177">
        <f>-PV($C30,G31,0,G40)</f>
        <v>5515.8600000000006</v>
      </c>
      <c r="H44" s="177">
        <f>-PV($C30,H31,0,H40)</f>
        <v>7236.4133333333339</v>
      </c>
      <c r="I44" s="177">
        <f>-PV($C30,I31,0,I40)</f>
        <v>8541.0611805555563</v>
      </c>
      <c r="J44" s="177">
        <f>-PV($C30,J31,0,J40)</f>
        <v>9498.5280873842621</v>
      </c>
      <c r="K44" s="177">
        <f>-PV($C30,K31,0,K40)</f>
        <v>10167.553334659531</v>
      </c>
      <c r="L44" s="177">
        <f>-PV($C30,L31,0,L40)</f>
        <v>10598.255321175533</v>
      </c>
      <c r="M44" s="177">
        <f>-PV($C30,M31,0,M40)</f>
        <v>10833.315713264667</v>
      </c>
      <c r="N44" s="177">
        <f>-PV($C30,N31,0,N40)</f>
        <v>10909.006697406317</v>
      </c>
      <c r="O44" s="177">
        <f>-PV($C30,O31,0,O40)</f>
        <v>10856.081687838619</v>
      </c>
      <c r="P44" s="177">
        <f>-PV($C30,P31,0,P40)</f>
        <v>10700.547235499544</v>
      </c>
      <c r="Q44" s="177">
        <f>-PV($C30,Q31,0,Q40)</f>
        <v>10464.331609816121</v>
      </c>
      <c r="R44" s="177">
        <f>-PV($C30,R31,0,R40)</f>
        <v>10165.863539113625</v>
      </c>
      <c r="S44" s="177">
        <f>-PV($C30,S31,0,S40)</f>
        <v>9820.572862205232</v>
      </c>
      <c r="T44" s="177">
        <f>-PV($C30,T31,0,T40)</f>
        <v>9441.3233311203203</v>
      </c>
      <c r="U44" s="177">
        <f>-PV($C30,U31,0,U40)</f>
        <v>9038.7864850301285</v>
      </c>
      <c r="V44" s="177">
        <f>-PV($C30,V31,0,V40)</f>
        <v>8621.764363842889</v>
      </c>
      <c r="W44" s="177">
        <f>-PV($C30,W31,0,W40)</f>
        <v>8197.4678253505936</v>
      </c>
      <c r="X44" s="177">
        <f>-PV($C30,X31,0,X40)</f>
        <v>7771.7563535874961</v>
      </c>
      <c r="Y44" s="177">
        <f>-PV($C30,Y31,0,Y40)</f>
        <v>7349.3444819276419</v>
      </c>
      <c r="Z44" s="177">
        <f>-PV($C30,Z31,0,Z40)</f>
        <v>6933.9792881803878</v>
      </c>
      <c r="AA44" s="177">
        <f>-PV($C30,AA31,0,AA40)</f>
        <v>6528.5928381103986</v>
      </c>
      <c r="AB44" s="177">
        <f>-PV($C30,AB31,0,AB40)</f>
        <v>6135.4329475531131</v>
      </c>
      <c r="AC44" s="177">
        <f>-PV($C30,AC31,0,AC40)</f>
        <v>5756.1751921316099</v>
      </c>
      <c r="AD44" s="177">
        <f>-PV($C30,AD31,0,AD40)</f>
        <v>5392.0187092192427</v>
      </c>
      <c r="AE44" s="177">
        <f>-PV($C30,AE31,0,AE40)</f>
        <v>5043.7680019955806</v>
      </c>
      <c r="AF44" s="177">
        <f>-PV($C30,AF31,0,AF40)</f>
        <v>4711.9026638891473</v>
      </c>
      <c r="AG44" s="177">
        <f>-PV($C30,AG31,0,AG40)</f>
        <v>4396.6366878674353</v>
      </c>
      <c r="AH44" s="177">
        <f>-PV($C30,AH31,0,AH40)</f>
        <v>4097.9688041013997</v>
      </c>
      <c r="AI44" s="177">
        <f>-PV($C30,AI31,0,AI40)</f>
        <v>3815.7250972880029</v>
      </c>
      <c r="AJ44" s="177">
        <f>-PV($C30,AJ31,0,AJ40)</f>
        <v>3549.5949876846739</v>
      </c>
      <c r="AK44" s="177">
        <f>-PV($C30,AK31,0,AK40)</f>
        <v>3299.1615144852899</v>
      </c>
      <c r="AL44" s="177">
        <f>-PV($C30,AL31,0,AL40)</f>
        <v>3063.9267337473943</v>
      </c>
      <c r="AM44" s="177">
        <f>-PV($C30,AM31,0,AM40)</f>
        <v>2843.3329332206717</v>
      </c>
      <c r="AN44" s="177">
        <f>-PV($C30,AN31,0,AN40)</f>
        <v>2636.7802709938151</v>
      </c>
      <c r="AO44" s="177">
        <f>-PV($C30,AO31,0,AO40)</f>
        <v>2443.6413620098378</v>
      </c>
      <c r="AP44" s="177">
        <f>-PV($C30,AP31,0,AP40)</f>
        <v>2263.2732645746705</v>
      </c>
      <c r="AQ44" s="177">
        <f>-PV($C30,AQ31,0,AQ40)</f>
        <v>2095.027256584227</v>
      </c>
      <c r="AR44" s="177">
        <f>-PV($C30,AR31,0,AR40)</f>
        <v>1938.256737085806</v>
      </c>
      <c r="AS44" s="177">
        <f>-PV($C30,AS31,0,AS40)</f>
        <v>1792.3235418934714</v>
      </c>
    </row>
    <row r="45" spans="1:46">
      <c r="B45" s="151" t="s">
        <v>212</v>
      </c>
      <c r="C45" s="180">
        <f>NPV(C30,F42:AS42)</f>
        <v>495818.73960771348</v>
      </c>
    </row>
    <row r="46" spans="1:46">
      <c r="B46" s="151" t="s">
        <v>381</v>
      </c>
      <c r="C46" s="180">
        <f>SUM(F43:AS43)</f>
        <v>238054.26733198625</v>
      </c>
    </row>
    <row r="47" spans="1:46">
      <c r="B47" s="151" t="s">
        <v>382</v>
      </c>
      <c r="C47" s="180">
        <f>SUM(F44:AS44)</f>
        <v>257764.47227572757</v>
      </c>
    </row>
    <row r="49" spans="1:46" s="114" customFormat="1">
      <c r="A49" s="152" t="s">
        <v>383</v>
      </c>
      <c r="B49" s="172" t="s">
        <v>362</v>
      </c>
    </row>
    <row r="50" spans="1:46" s="114" customFormat="1">
      <c r="A50" s="152" t="s">
        <v>384</v>
      </c>
      <c r="B50" s="172" t="s">
        <v>356</v>
      </c>
    </row>
    <row r="51" spans="1:46" s="114" customFormat="1">
      <c r="A51" s="152" t="s">
        <v>385</v>
      </c>
      <c r="B51" s="172" t="s">
        <v>357</v>
      </c>
    </row>
    <row r="52" spans="1:46">
      <c r="B52" s="171" t="s">
        <v>353</v>
      </c>
      <c r="C52" s="170">
        <v>0.14000000000000001</v>
      </c>
    </row>
    <row r="53" spans="1:46" s="114" customFormat="1">
      <c r="A53" s="153"/>
      <c r="B53" s="172" t="s">
        <v>363</v>
      </c>
    </row>
    <row r="54" spans="1:46">
      <c r="B54" s="182" t="s">
        <v>367</v>
      </c>
      <c r="C54" s="43">
        <v>60000</v>
      </c>
    </row>
    <row r="55" spans="1:46">
      <c r="B55" s="182" t="s">
        <v>368</v>
      </c>
      <c r="C55" s="43">
        <f>2*20000</f>
        <v>40000</v>
      </c>
    </row>
    <row r="56" spans="1:46">
      <c r="B56" s="182" t="s">
        <v>369</v>
      </c>
      <c r="C56" s="43">
        <f>2*10000</f>
        <v>20000</v>
      </c>
    </row>
    <row r="57" spans="1:46">
      <c r="B57" s="182" t="s">
        <v>370</v>
      </c>
      <c r="C57" s="43">
        <f>1500*24</f>
        <v>36000</v>
      </c>
    </row>
    <row r="58" spans="1:46">
      <c r="B58" s="182" t="s">
        <v>371</v>
      </c>
      <c r="C58" s="43">
        <f>4000*24</f>
        <v>96000</v>
      </c>
    </row>
    <row r="59" spans="1:46">
      <c r="B59" s="183" t="s">
        <v>372</v>
      </c>
      <c r="C59" s="179">
        <f>SUM(C54:C58)</f>
        <v>252000</v>
      </c>
    </row>
    <row r="60" spans="1:46">
      <c r="B60" s="182" t="s">
        <v>373</v>
      </c>
      <c r="C60" s="142">
        <f>F24</f>
        <v>39589.440000000002</v>
      </c>
    </row>
    <row r="61" spans="1:46">
      <c r="B61" s="184" t="s">
        <v>374</v>
      </c>
      <c r="C61" s="150">
        <f>C59-C60</f>
        <v>212410.56</v>
      </c>
      <c r="F61" s="173" t="s">
        <v>377</v>
      </c>
      <c r="G61" s="173"/>
    </row>
    <row r="62" spans="1:46">
      <c r="C62" s="170"/>
      <c r="D62" s="154"/>
      <c r="E62" s="154"/>
      <c r="F62" s="174" t="s">
        <v>361</v>
      </c>
      <c r="G62" s="154"/>
      <c r="H62" s="174"/>
    </row>
    <row r="63" spans="1:46">
      <c r="B63" s="168" t="s">
        <v>352</v>
      </c>
      <c r="C63" s="173" t="s">
        <v>360</v>
      </c>
      <c r="D63" s="173"/>
      <c r="E63" s="173"/>
      <c r="F63" s="79">
        <v>1</v>
      </c>
      <c r="G63">
        <v>2</v>
      </c>
      <c r="H63" s="79">
        <v>3</v>
      </c>
      <c r="I63" s="171">
        <v>4</v>
      </c>
      <c r="J63" s="171">
        <v>5</v>
      </c>
      <c r="K63" s="171">
        <v>6</v>
      </c>
      <c r="L63" s="171">
        <v>7</v>
      </c>
      <c r="M63" s="171">
        <v>8</v>
      </c>
      <c r="N63" s="171">
        <v>9</v>
      </c>
      <c r="O63" s="171">
        <v>10</v>
      </c>
      <c r="P63" s="171">
        <v>11</v>
      </c>
      <c r="Q63" s="171">
        <v>12</v>
      </c>
      <c r="R63" s="171">
        <v>13</v>
      </c>
      <c r="S63" s="171">
        <v>14</v>
      </c>
      <c r="T63" s="171">
        <v>15</v>
      </c>
      <c r="U63" s="171">
        <v>16</v>
      </c>
      <c r="V63" s="171">
        <v>17</v>
      </c>
      <c r="W63" s="171">
        <v>18</v>
      </c>
      <c r="X63" s="171">
        <v>19</v>
      </c>
      <c r="Y63" s="171">
        <v>20</v>
      </c>
      <c r="Z63" s="171">
        <v>21</v>
      </c>
      <c r="AA63" s="171">
        <v>22</v>
      </c>
      <c r="AB63" s="171">
        <v>23</v>
      </c>
      <c r="AC63" s="171">
        <v>24</v>
      </c>
      <c r="AD63" s="171">
        <v>25</v>
      </c>
      <c r="AE63" s="171">
        <v>26</v>
      </c>
      <c r="AF63" s="171">
        <v>27</v>
      </c>
      <c r="AG63" s="171">
        <v>28</v>
      </c>
      <c r="AH63" s="171">
        <v>29</v>
      </c>
      <c r="AI63" s="171">
        <v>30</v>
      </c>
      <c r="AJ63" s="171">
        <v>31</v>
      </c>
      <c r="AK63" s="171">
        <v>32</v>
      </c>
      <c r="AL63" s="171">
        <v>33</v>
      </c>
      <c r="AM63" s="171">
        <v>34</v>
      </c>
      <c r="AN63" s="171">
        <v>35</v>
      </c>
      <c r="AO63" s="171">
        <v>36</v>
      </c>
      <c r="AP63" s="171">
        <v>37</v>
      </c>
      <c r="AQ63" s="171">
        <v>38</v>
      </c>
      <c r="AR63" s="171">
        <v>39</v>
      </c>
      <c r="AS63" s="171">
        <v>40</v>
      </c>
    </row>
    <row r="64" spans="1:46" s="155" customFormat="1">
      <c r="A64" s="153"/>
      <c r="B64" s="161" t="s">
        <v>86</v>
      </c>
      <c r="C64" s="162">
        <v>2017</v>
      </c>
      <c r="D64" s="162">
        <v>2018</v>
      </c>
      <c r="E64" s="162">
        <v>2019</v>
      </c>
      <c r="F64" s="175">
        <v>2020</v>
      </c>
      <c r="G64" s="162">
        <v>2021</v>
      </c>
      <c r="H64" s="175">
        <v>2022</v>
      </c>
      <c r="I64" s="162">
        <v>2023</v>
      </c>
      <c r="J64" s="162">
        <v>2024</v>
      </c>
      <c r="K64" s="162">
        <v>2025</v>
      </c>
      <c r="L64" s="162">
        <v>2026</v>
      </c>
      <c r="M64" s="162">
        <v>2027</v>
      </c>
      <c r="N64" s="162">
        <v>2028</v>
      </c>
      <c r="O64" s="162">
        <v>2029</v>
      </c>
      <c r="P64" s="162">
        <v>2030</v>
      </c>
      <c r="Q64" s="162">
        <v>2031</v>
      </c>
      <c r="R64" s="162">
        <v>2032</v>
      </c>
      <c r="S64" s="162">
        <v>2033</v>
      </c>
      <c r="T64" s="162">
        <v>2034</v>
      </c>
      <c r="U64" s="162">
        <v>2035</v>
      </c>
      <c r="V64" s="162">
        <v>2036</v>
      </c>
      <c r="W64" s="162">
        <v>2037</v>
      </c>
      <c r="X64" s="162">
        <v>2038</v>
      </c>
      <c r="Y64" s="162">
        <v>2039</v>
      </c>
      <c r="Z64" s="162">
        <v>2040</v>
      </c>
      <c r="AA64" s="162">
        <v>2041</v>
      </c>
      <c r="AB64" s="162">
        <v>2042</v>
      </c>
      <c r="AC64" s="162">
        <v>2043</v>
      </c>
      <c r="AD64" s="162">
        <v>2044</v>
      </c>
      <c r="AE64" s="162">
        <v>2045</v>
      </c>
      <c r="AF64" s="162">
        <v>2046</v>
      </c>
      <c r="AG64" s="162">
        <v>2047</v>
      </c>
      <c r="AH64" s="162">
        <v>2048</v>
      </c>
      <c r="AI64" s="162">
        <v>2049</v>
      </c>
      <c r="AJ64" s="162">
        <v>2050</v>
      </c>
      <c r="AK64" s="162">
        <v>2051</v>
      </c>
      <c r="AL64" s="162">
        <v>2052</v>
      </c>
      <c r="AM64" s="162">
        <v>2053</v>
      </c>
      <c r="AN64" s="162">
        <v>2054</v>
      </c>
      <c r="AO64" s="162">
        <v>2055</v>
      </c>
      <c r="AP64" s="162">
        <v>2056</v>
      </c>
      <c r="AQ64" s="162">
        <v>2057</v>
      </c>
      <c r="AR64" s="162">
        <v>2058</v>
      </c>
      <c r="AS64" s="162">
        <v>2059</v>
      </c>
      <c r="AT64" s="162"/>
    </row>
    <row r="65" spans="1:46" s="154" customFormat="1">
      <c r="A65" s="153"/>
      <c r="B65" s="181" t="s">
        <v>367</v>
      </c>
      <c r="C65" s="171"/>
      <c r="D65" s="171"/>
      <c r="E65" s="171"/>
      <c r="F65" s="174">
        <v>60000</v>
      </c>
      <c r="G65" s="171"/>
      <c r="H65" s="174"/>
      <c r="I65" s="171"/>
      <c r="J65" s="171"/>
      <c r="K65" s="171"/>
      <c r="L65" s="171"/>
      <c r="M65" s="171"/>
      <c r="N65" s="171"/>
      <c r="O65" s="171"/>
      <c r="P65" s="171"/>
      <c r="Q65" s="171"/>
      <c r="R65" s="171"/>
      <c r="S65" s="171"/>
      <c r="T65" s="171"/>
      <c r="U65" s="171"/>
      <c r="V65" s="171"/>
      <c r="W65" s="171"/>
      <c r="X65" s="171"/>
      <c r="Y65" s="171"/>
      <c r="Z65" s="171"/>
      <c r="AA65" s="171"/>
      <c r="AB65" s="171"/>
      <c r="AC65" s="171"/>
      <c r="AD65" s="171"/>
      <c r="AE65" s="171"/>
      <c r="AF65" s="171"/>
      <c r="AG65" s="171"/>
      <c r="AH65" s="171"/>
      <c r="AI65" s="171"/>
      <c r="AJ65" s="171"/>
      <c r="AK65" s="171"/>
      <c r="AL65" s="171"/>
      <c r="AM65" s="171"/>
      <c r="AN65" s="171"/>
      <c r="AO65" s="171"/>
      <c r="AP65" s="171"/>
      <c r="AQ65" s="171"/>
      <c r="AR65" s="171"/>
      <c r="AS65" s="171"/>
      <c r="AT65" s="171"/>
    </row>
    <row r="66" spans="1:46" s="154" customFormat="1">
      <c r="A66" s="153"/>
      <c r="B66" s="181" t="s">
        <v>368</v>
      </c>
      <c r="C66" s="171"/>
      <c r="D66" s="171"/>
      <c r="E66" s="171"/>
      <c r="F66" s="174">
        <v>20000</v>
      </c>
      <c r="G66" s="171">
        <v>20000</v>
      </c>
      <c r="H66" s="174"/>
      <c r="I66" s="171"/>
      <c r="J66" s="171"/>
      <c r="K66" s="171"/>
      <c r="L66" s="171"/>
      <c r="M66" s="171"/>
      <c r="N66" s="171"/>
      <c r="O66" s="171"/>
      <c r="P66" s="171"/>
      <c r="Q66" s="171"/>
      <c r="R66" s="171"/>
      <c r="S66" s="171"/>
      <c r="T66" s="171"/>
      <c r="U66" s="171"/>
      <c r="V66" s="171"/>
      <c r="W66" s="171"/>
      <c r="X66" s="171"/>
      <c r="Y66" s="171"/>
      <c r="Z66" s="171"/>
      <c r="AA66" s="171"/>
      <c r="AB66" s="171"/>
      <c r="AC66" s="171"/>
      <c r="AD66" s="171"/>
      <c r="AE66" s="171"/>
      <c r="AF66" s="171"/>
      <c r="AG66" s="171"/>
      <c r="AH66" s="171"/>
      <c r="AI66" s="171"/>
      <c r="AJ66" s="171"/>
      <c r="AK66" s="171"/>
      <c r="AL66" s="171"/>
      <c r="AM66" s="171"/>
      <c r="AN66" s="171"/>
      <c r="AO66" s="171"/>
      <c r="AP66" s="171"/>
      <c r="AQ66" s="171"/>
      <c r="AR66" s="171"/>
      <c r="AS66" s="171"/>
      <c r="AT66" s="171"/>
    </row>
    <row r="67" spans="1:46" s="154" customFormat="1">
      <c r="A67" s="153"/>
      <c r="B67" s="181" t="s">
        <v>369</v>
      </c>
      <c r="C67" s="171"/>
      <c r="D67" s="171"/>
      <c r="E67" s="171"/>
      <c r="F67" s="174">
        <v>10000</v>
      </c>
      <c r="G67" s="186">
        <v>10000</v>
      </c>
      <c r="H67" s="171"/>
      <c r="I67" s="171"/>
      <c r="J67" s="171"/>
      <c r="K67" s="171"/>
      <c r="L67" s="171"/>
      <c r="M67" s="171"/>
      <c r="N67" s="171"/>
      <c r="O67" s="171"/>
      <c r="P67" s="171"/>
      <c r="Q67" s="171"/>
      <c r="R67" s="171"/>
      <c r="S67" s="171"/>
      <c r="T67" s="171"/>
      <c r="U67" s="171"/>
      <c r="V67" s="171"/>
      <c r="W67" s="171"/>
      <c r="X67" s="171"/>
      <c r="Y67" s="171"/>
      <c r="Z67" s="171"/>
      <c r="AA67" s="171"/>
      <c r="AB67" s="171"/>
      <c r="AC67" s="171"/>
      <c r="AD67" s="171"/>
      <c r="AE67" s="171"/>
      <c r="AF67" s="171"/>
      <c r="AG67" s="171"/>
      <c r="AH67" s="171"/>
      <c r="AI67" s="171"/>
      <c r="AJ67" s="171"/>
      <c r="AK67" s="171"/>
      <c r="AL67" s="171"/>
      <c r="AM67" s="171"/>
      <c r="AN67" s="171"/>
      <c r="AO67" s="171"/>
      <c r="AP67" s="171"/>
      <c r="AQ67" s="171"/>
      <c r="AR67" s="171"/>
      <c r="AS67" s="171"/>
      <c r="AT67" s="171"/>
    </row>
    <row r="68" spans="1:46" s="154" customFormat="1">
      <c r="A68" s="153"/>
      <c r="B68" s="181" t="s">
        <v>370</v>
      </c>
      <c r="C68" s="171"/>
      <c r="D68" s="171"/>
      <c r="E68" s="171"/>
      <c r="F68" s="174">
        <f>1500*12</f>
        <v>18000</v>
      </c>
      <c r="G68" s="186">
        <f>1500*12</f>
        <v>18000</v>
      </c>
      <c r="H68" s="171"/>
      <c r="I68" s="171"/>
      <c r="J68" s="171"/>
      <c r="K68" s="171"/>
      <c r="L68" s="171"/>
      <c r="M68" s="171"/>
      <c r="N68" s="171"/>
      <c r="O68" s="171"/>
      <c r="P68" s="171"/>
      <c r="Q68" s="171"/>
      <c r="R68" s="171"/>
      <c r="S68" s="171"/>
      <c r="T68" s="171"/>
      <c r="U68" s="171"/>
      <c r="V68" s="171"/>
      <c r="W68" s="171"/>
      <c r="X68" s="171"/>
      <c r="Y68" s="171"/>
      <c r="Z68" s="171"/>
      <c r="AA68" s="171"/>
      <c r="AB68" s="171"/>
      <c r="AC68" s="171"/>
      <c r="AD68" s="171"/>
      <c r="AE68" s="171"/>
      <c r="AF68" s="171"/>
      <c r="AG68" s="171"/>
      <c r="AH68" s="171"/>
      <c r="AI68" s="171"/>
      <c r="AJ68" s="171"/>
      <c r="AK68" s="171"/>
      <c r="AL68" s="171"/>
      <c r="AM68" s="171"/>
      <c r="AN68" s="171"/>
      <c r="AO68" s="171"/>
      <c r="AP68" s="171"/>
      <c r="AQ68" s="171"/>
      <c r="AR68" s="171"/>
      <c r="AS68" s="171"/>
      <c r="AT68" s="171"/>
    </row>
    <row r="69" spans="1:46" s="154" customFormat="1">
      <c r="A69" s="153"/>
      <c r="B69" s="181" t="s">
        <v>371</v>
      </c>
      <c r="C69" s="171"/>
      <c r="D69" s="171"/>
      <c r="E69" s="171"/>
      <c r="F69" s="174">
        <f>4000*12</f>
        <v>48000</v>
      </c>
      <c r="G69" s="186">
        <f>4000*12</f>
        <v>48000</v>
      </c>
      <c r="H69" s="171"/>
      <c r="I69" s="171"/>
      <c r="J69" s="171"/>
      <c r="K69" s="171"/>
      <c r="L69" s="171"/>
      <c r="M69" s="171"/>
      <c r="N69" s="171"/>
      <c r="O69" s="171"/>
      <c r="P69" s="171"/>
      <c r="Q69" s="171"/>
      <c r="R69" s="171"/>
      <c r="S69" s="171"/>
      <c r="T69" s="171"/>
      <c r="U69" s="171"/>
      <c r="V69" s="171"/>
      <c r="W69" s="171"/>
      <c r="X69" s="171"/>
      <c r="Y69" s="171"/>
      <c r="Z69" s="171"/>
      <c r="AA69" s="171"/>
      <c r="AB69" s="171"/>
      <c r="AC69" s="171"/>
      <c r="AD69" s="171"/>
      <c r="AE69" s="171"/>
      <c r="AF69" s="171"/>
      <c r="AG69" s="171"/>
      <c r="AH69" s="171"/>
      <c r="AI69" s="171"/>
      <c r="AJ69" s="171"/>
      <c r="AK69" s="171"/>
      <c r="AL69" s="171"/>
      <c r="AM69" s="171"/>
      <c r="AN69" s="171"/>
      <c r="AO69" s="171"/>
      <c r="AP69" s="171"/>
      <c r="AQ69" s="171"/>
      <c r="AR69" s="171"/>
      <c r="AS69" s="171"/>
      <c r="AT69" s="171"/>
    </row>
    <row r="70" spans="1:46" s="104" customFormat="1">
      <c r="A70" s="193"/>
      <c r="B70" s="192" t="s">
        <v>329</v>
      </c>
      <c r="C70" s="192">
        <v>144000</v>
      </c>
      <c r="D70" s="192">
        <v>156000</v>
      </c>
      <c r="E70" s="192">
        <v>168000</v>
      </c>
      <c r="F70" s="194" t="s">
        <v>376</v>
      </c>
      <c r="G70" s="195" t="s">
        <v>376</v>
      </c>
      <c r="H70" s="192">
        <f>20000*12</f>
        <v>240000</v>
      </c>
      <c r="I70" s="104">
        <f>H70*110%</f>
        <v>264000</v>
      </c>
      <c r="J70" s="104">
        <f t="shared" ref="J70:AR70" si="11">I70*110%</f>
        <v>290400</v>
      </c>
      <c r="K70" s="104">
        <f t="shared" si="11"/>
        <v>319440</v>
      </c>
      <c r="L70" s="104">
        <f t="shared" si="11"/>
        <v>351384</v>
      </c>
      <c r="M70" s="104">
        <f t="shared" si="11"/>
        <v>386522.4</v>
      </c>
      <c r="N70" s="104">
        <f t="shared" si="11"/>
        <v>425174.64000000007</v>
      </c>
      <c r="O70" s="104">
        <f t="shared" si="11"/>
        <v>467692.10400000011</v>
      </c>
      <c r="P70" s="104">
        <f t="shared" si="11"/>
        <v>514461.31440000015</v>
      </c>
      <c r="Q70" s="104">
        <f t="shared" si="11"/>
        <v>565907.44584000017</v>
      </c>
      <c r="R70" s="104">
        <f t="shared" si="11"/>
        <v>622498.19042400026</v>
      </c>
      <c r="S70" s="104">
        <f t="shared" si="11"/>
        <v>684748.00946640037</v>
      </c>
      <c r="T70" s="104">
        <f t="shared" si="11"/>
        <v>753222.81041304045</v>
      </c>
      <c r="U70" s="104">
        <f t="shared" si="11"/>
        <v>828545.09145434457</v>
      </c>
      <c r="V70" s="104">
        <f t="shared" si="11"/>
        <v>911399.60059977905</v>
      </c>
      <c r="W70" s="104">
        <f t="shared" si="11"/>
        <v>1002539.560659757</v>
      </c>
      <c r="X70" s="104">
        <f t="shared" si="11"/>
        <v>1102793.5167257327</v>
      </c>
      <c r="Y70" s="104">
        <f t="shared" si="11"/>
        <v>1213072.8683983062</v>
      </c>
      <c r="Z70" s="104">
        <f t="shared" si="11"/>
        <v>1334380.1552381369</v>
      </c>
      <c r="AA70" s="104">
        <f t="shared" si="11"/>
        <v>1467818.1707619508</v>
      </c>
      <c r="AB70" s="104">
        <f t="shared" si="11"/>
        <v>1614599.987838146</v>
      </c>
      <c r="AC70" s="104">
        <f t="shared" si="11"/>
        <v>1776059.9866219608</v>
      </c>
      <c r="AD70" s="104">
        <f t="shared" si="11"/>
        <v>1953665.9852841571</v>
      </c>
      <c r="AE70" s="104">
        <f t="shared" si="11"/>
        <v>2149032.583812573</v>
      </c>
      <c r="AF70" s="104">
        <f t="shared" si="11"/>
        <v>2363935.8421938303</v>
      </c>
      <c r="AG70" s="104">
        <f t="shared" si="11"/>
        <v>2600329.4264132134</v>
      </c>
      <c r="AH70" s="104">
        <f t="shared" si="11"/>
        <v>2860362.3690545349</v>
      </c>
      <c r="AI70" s="104">
        <f t="shared" si="11"/>
        <v>3146398.6059599887</v>
      </c>
      <c r="AJ70" s="104">
        <f t="shared" si="11"/>
        <v>3461038.466555988</v>
      </c>
      <c r="AK70" s="104">
        <f t="shared" si="11"/>
        <v>3807142.3132115873</v>
      </c>
      <c r="AL70" s="104">
        <f t="shared" si="11"/>
        <v>4187856.5445327465</v>
      </c>
      <c r="AM70" s="104">
        <f t="shared" si="11"/>
        <v>4606642.1989860218</v>
      </c>
      <c r="AN70" s="104">
        <f t="shared" si="11"/>
        <v>5067306.4188846247</v>
      </c>
      <c r="AO70" s="104">
        <f t="shared" si="11"/>
        <v>5574037.0607730877</v>
      </c>
      <c r="AP70" s="104">
        <f t="shared" si="11"/>
        <v>6131440.766850397</v>
      </c>
      <c r="AQ70" s="104">
        <f t="shared" si="11"/>
        <v>6744584.8435354372</v>
      </c>
      <c r="AR70" s="104">
        <f t="shared" si="11"/>
        <v>7419043.3278889814</v>
      </c>
      <c r="AS70" s="104">
        <f>AR70*110%</f>
        <v>8160947.66067788</v>
      </c>
    </row>
    <row r="71" spans="1:46" s="104" customFormat="1">
      <c r="A71" s="193"/>
      <c r="B71" s="192" t="s">
        <v>339</v>
      </c>
      <c r="C71" s="192">
        <v>28800</v>
      </c>
      <c r="D71" s="192">
        <v>31200</v>
      </c>
      <c r="E71" s="192">
        <v>33600</v>
      </c>
      <c r="F71" s="194" t="s">
        <v>376</v>
      </c>
      <c r="G71" s="195" t="s">
        <v>376</v>
      </c>
      <c r="H71" s="192">
        <f>H70*15%</f>
        <v>36000</v>
      </c>
      <c r="I71" s="192">
        <f t="shared" ref="I71:Y71" si="12">I70*15%</f>
        <v>39600</v>
      </c>
      <c r="J71" s="192">
        <f t="shared" si="12"/>
        <v>43560</v>
      </c>
      <c r="K71" s="192">
        <f t="shared" si="12"/>
        <v>47916</v>
      </c>
      <c r="L71" s="192">
        <f t="shared" si="12"/>
        <v>52707.6</v>
      </c>
      <c r="M71" s="192">
        <f t="shared" si="12"/>
        <v>57978.36</v>
      </c>
      <c r="N71" s="192">
        <f t="shared" si="12"/>
        <v>63776.196000000011</v>
      </c>
      <c r="O71" s="192">
        <f t="shared" si="12"/>
        <v>70153.815600000016</v>
      </c>
      <c r="P71" s="192">
        <f t="shared" si="12"/>
        <v>77169.197160000025</v>
      </c>
      <c r="Q71" s="192">
        <f t="shared" si="12"/>
        <v>84886.116876000029</v>
      </c>
      <c r="R71" s="192">
        <f t="shared" si="12"/>
        <v>93374.728563600031</v>
      </c>
      <c r="S71" s="192">
        <f t="shared" si="12"/>
        <v>102712.20141996005</v>
      </c>
      <c r="T71" s="192">
        <f t="shared" si="12"/>
        <v>112983.42156195607</v>
      </c>
      <c r="U71" s="192">
        <f t="shared" si="12"/>
        <v>124281.76371815168</v>
      </c>
      <c r="V71" s="192">
        <f t="shared" si="12"/>
        <v>136709.94008996684</v>
      </c>
      <c r="W71" s="192">
        <f t="shared" si="12"/>
        <v>150380.93409896354</v>
      </c>
      <c r="X71" s="192">
        <f t="shared" si="12"/>
        <v>165419.0275088599</v>
      </c>
      <c r="Y71" s="192">
        <f t="shared" si="12"/>
        <v>181960.93025974592</v>
      </c>
      <c r="Z71" s="192">
        <f>Z70*15%</f>
        <v>200157.02328572053</v>
      </c>
      <c r="AA71" s="192">
        <f t="shared" ref="AA71" si="13">AA70*15%</f>
        <v>220172.72561429261</v>
      </c>
      <c r="AB71" s="192">
        <f t="shared" ref="AB71" si="14">AB70*15%</f>
        <v>242189.99817572191</v>
      </c>
      <c r="AC71" s="192">
        <f t="shared" ref="AC71" si="15">AC70*15%</f>
        <v>266408.99799329409</v>
      </c>
      <c r="AD71" s="192">
        <f t="shared" ref="AD71" si="16">AD70*15%</f>
        <v>293049.89779262355</v>
      </c>
      <c r="AE71" s="192">
        <f t="shared" ref="AE71" si="17">AE70*15%</f>
        <v>322354.88757188595</v>
      </c>
      <c r="AF71" s="192">
        <f t="shared" ref="AF71" si="18">AF70*15%</f>
        <v>354590.37632907456</v>
      </c>
      <c r="AG71" s="192">
        <f t="shared" ref="AG71" si="19">AG70*15%</f>
        <v>390049.41396198201</v>
      </c>
      <c r="AH71" s="192">
        <f t="shared" ref="AH71" si="20">AH70*15%</f>
        <v>429054.35535818024</v>
      </c>
      <c r="AI71" s="192">
        <f t="shared" ref="AI71" si="21">AI70*15%</f>
        <v>471959.79089399829</v>
      </c>
      <c r="AJ71" s="192">
        <f t="shared" ref="AJ71" si="22">AJ70*15%</f>
        <v>519155.76998339815</v>
      </c>
      <c r="AK71" s="192">
        <f t="shared" ref="AK71" si="23">AK70*15%</f>
        <v>571071.34698173811</v>
      </c>
      <c r="AL71" s="192">
        <f t="shared" ref="AL71" si="24">AL70*15%</f>
        <v>628178.48167991196</v>
      </c>
      <c r="AM71" s="192">
        <f t="shared" ref="AM71" si="25">AM70*15%</f>
        <v>690996.32984790322</v>
      </c>
      <c r="AN71" s="192">
        <f t="shared" ref="AN71" si="26">AN70*15%</f>
        <v>760095.96283269371</v>
      </c>
      <c r="AO71" s="192">
        <f>AO70*15%</f>
        <v>836105.55911596317</v>
      </c>
      <c r="AP71" s="192">
        <f t="shared" ref="AP71" si="27">AP70*15%</f>
        <v>919716.11502755957</v>
      </c>
      <c r="AQ71" s="192">
        <f t="shared" ref="AQ71" si="28">AQ70*15%</f>
        <v>1011687.7265303156</v>
      </c>
      <c r="AR71" s="192">
        <f t="shared" ref="AR71" si="29">AR70*15%</f>
        <v>1112856.4991833472</v>
      </c>
      <c r="AS71" s="192">
        <f t="shared" ref="AS71" si="30">AS70*15%</f>
        <v>1224142.149101682</v>
      </c>
    </row>
    <row r="72" spans="1:46" s="104" customFormat="1">
      <c r="A72" s="193"/>
      <c r="B72" s="192" t="s">
        <v>145</v>
      </c>
      <c r="C72" s="192">
        <v>172800</v>
      </c>
      <c r="D72" s="192">
        <v>187200</v>
      </c>
      <c r="E72" s="192">
        <v>201600</v>
      </c>
      <c r="F72" s="194" t="s">
        <v>376</v>
      </c>
      <c r="G72" s="195" t="s">
        <v>376</v>
      </c>
      <c r="H72" s="192">
        <f>H70+H71</f>
        <v>276000</v>
      </c>
      <c r="I72" s="192">
        <f t="shared" ref="I72:Y72" si="31">I70+I71</f>
        <v>303600</v>
      </c>
      <c r="J72" s="192">
        <f t="shared" si="31"/>
        <v>333960</v>
      </c>
      <c r="K72" s="192">
        <f t="shared" si="31"/>
        <v>367356</v>
      </c>
      <c r="L72" s="192">
        <f t="shared" si="31"/>
        <v>404091.6</v>
      </c>
      <c r="M72" s="192">
        <f t="shared" si="31"/>
        <v>444500.76</v>
      </c>
      <c r="N72" s="192">
        <f t="shared" si="31"/>
        <v>488950.83600000007</v>
      </c>
      <c r="O72" s="192">
        <f t="shared" si="31"/>
        <v>537845.91960000014</v>
      </c>
      <c r="P72" s="192">
        <f t="shared" si="31"/>
        <v>591630.51156000013</v>
      </c>
      <c r="Q72" s="192">
        <f t="shared" si="31"/>
        <v>650793.56271600025</v>
      </c>
      <c r="R72" s="192">
        <f t="shared" si="31"/>
        <v>715872.91898760025</v>
      </c>
      <c r="S72" s="192">
        <f t="shared" si="31"/>
        <v>787460.21088636038</v>
      </c>
      <c r="T72" s="192">
        <f t="shared" si="31"/>
        <v>866206.23197499651</v>
      </c>
      <c r="U72" s="192">
        <f t="shared" si="31"/>
        <v>952826.85517249629</v>
      </c>
      <c r="V72" s="192">
        <f t="shared" si="31"/>
        <v>1048109.5406897459</v>
      </c>
      <c r="W72" s="192">
        <f t="shared" si="31"/>
        <v>1152920.4947587205</v>
      </c>
      <c r="X72" s="192">
        <f t="shared" si="31"/>
        <v>1268212.5442345927</v>
      </c>
      <c r="Y72" s="192">
        <f t="shared" si="31"/>
        <v>1395033.798658052</v>
      </c>
      <c r="Z72" s="192">
        <f>Z70+Z71</f>
        <v>1534537.1785238574</v>
      </c>
      <c r="AA72" s="192">
        <f t="shared" ref="AA72" si="32">AA70+AA71</f>
        <v>1687990.8963762433</v>
      </c>
      <c r="AB72" s="192">
        <f t="shared" ref="AB72" si="33">AB70+AB71</f>
        <v>1856789.9860138679</v>
      </c>
      <c r="AC72" s="192">
        <f t="shared" ref="AC72" si="34">AC70+AC71</f>
        <v>2042468.9846152549</v>
      </c>
      <c r="AD72" s="192">
        <f t="shared" ref="AD72" si="35">AD70+AD71</f>
        <v>2246715.8830767805</v>
      </c>
      <c r="AE72" s="192">
        <f t="shared" ref="AE72" si="36">AE70+AE71</f>
        <v>2471387.4713844592</v>
      </c>
      <c r="AF72" s="192">
        <f t="shared" ref="AF72" si="37">AF70+AF71</f>
        <v>2718526.2185229049</v>
      </c>
      <c r="AG72" s="192">
        <f t="shared" ref="AG72" si="38">AG70+AG71</f>
        <v>2990378.8403751953</v>
      </c>
      <c r="AH72" s="192">
        <f t="shared" ref="AH72" si="39">AH70+AH71</f>
        <v>3289416.7244127151</v>
      </c>
      <c r="AI72" s="192">
        <f t="shared" ref="AI72" si="40">AI70+AI71</f>
        <v>3618358.3968539871</v>
      </c>
      <c r="AJ72" s="192">
        <f t="shared" ref="AJ72" si="41">AJ70+AJ71</f>
        <v>3980194.2365393862</v>
      </c>
      <c r="AK72" s="192">
        <f t="shared" ref="AK72" si="42">AK70+AK71</f>
        <v>4378213.660193325</v>
      </c>
      <c r="AL72" s="192">
        <f t="shared" ref="AL72" si="43">AL70+AL71</f>
        <v>4816035.0262126587</v>
      </c>
      <c r="AM72" s="192">
        <f t="shared" ref="AM72" si="44">AM70+AM71</f>
        <v>5297638.5288339248</v>
      </c>
      <c r="AN72" s="192">
        <f t="shared" ref="AN72" si="45">AN70+AN71</f>
        <v>5827402.3817173187</v>
      </c>
      <c r="AO72" s="192">
        <f>AO70+AO71</f>
        <v>6410142.6198890507</v>
      </c>
      <c r="AP72" s="192">
        <f t="shared" ref="AP72" si="46">AP70+AP71</f>
        <v>7051156.8818779569</v>
      </c>
      <c r="AQ72" s="192">
        <f t="shared" ref="AQ72" si="47">AQ70+AQ71</f>
        <v>7756272.5700657526</v>
      </c>
      <c r="AR72" s="192">
        <f t="shared" ref="AR72" si="48">AR70+AR71</f>
        <v>8531899.827072328</v>
      </c>
      <c r="AS72" s="192">
        <f t="shared" ref="AS72" si="49">AS70+AS71</f>
        <v>9385089.8097795621</v>
      </c>
    </row>
    <row r="73" spans="1:46" s="104" customFormat="1">
      <c r="A73" s="193"/>
      <c r="B73" s="192" t="s">
        <v>138</v>
      </c>
      <c r="C73" s="192">
        <v>33696</v>
      </c>
      <c r="D73" s="192">
        <v>36504</v>
      </c>
      <c r="E73" s="192">
        <v>39312</v>
      </c>
      <c r="F73" s="194" t="s">
        <v>376</v>
      </c>
      <c r="G73" s="195" t="s">
        <v>376</v>
      </c>
      <c r="H73" s="192">
        <f>H72*19.5%</f>
        <v>53820</v>
      </c>
      <c r="I73" s="192">
        <f t="shared" ref="I73:Y73" si="50">I72*19.5%</f>
        <v>59202</v>
      </c>
      <c r="J73" s="192">
        <f t="shared" si="50"/>
        <v>65122.200000000004</v>
      </c>
      <c r="K73" s="192">
        <f t="shared" si="50"/>
        <v>71634.42</v>
      </c>
      <c r="L73" s="192">
        <f t="shared" si="50"/>
        <v>78797.861999999994</v>
      </c>
      <c r="M73" s="192">
        <f t="shared" si="50"/>
        <v>86677.648200000011</v>
      </c>
      <c r="N73" s="192">
        <f t="shared" si="50"/>
        <v>95345.413020000022</v>
      </c>
      <c r="O73" s="192">
        <f t="shared" si="50"/>
        <v>104879.95432200003</v>
      </c>
      <c r="P73" s="192">
        <f t="shared" si="50"/>
        <v>115367.94975420003</v>
      </c>
      <c r="Q73" s="192">
        <f t="shared" si="50"/>
        <v>126904.74472962006</v>
      </c>
      <c r="R73" s="192">
        <f t="shared" si="50"/>
        <v>139595.21920258206</v>
      </c>
      <c r="S73" s="192">
        <f t="shared" si="50"/>
        <v>153554.74112284029</v>
      </c>
      <c r="T73" s="192">
        <f t="shared" si="50"/>
        <v>168910.21523512431</v>
      </c>
      <c r="U73" s="192">
        <f t="shared" si="50"/>
        <v>185801.23675863678</v>
      </c>
      <c r="V73" s="192">
        <f t="shared" si="50"/>
        <v>204381.36043450047</v>
      </c>
      <c r="W73" s="192">
        <f t="shared" si="50"/>
        <v>224819.49647795051</v>
      </c>
      <c r="X73" s="192">
        <f t="shared" si="50"/>
        <v>247301.4461257456</v>
      </c>
      <c r="Y73" s="192">
        <f t="shared" si="50"/>
        <v>272031.59073832014</v>
      </c>
      <c r="Z73" s="192">
        <f>Z72*19.5%</f>
        <v>299234.74981215218</v>
      </c>
      <c r="AA73" s="192">
        <f t="shared" ref="AA73" si="51">AA72*19.5%</f>
        <v>329158.22479336744</v>
      </c>
      <c r="AB73" s="192">
        <f t="shared" ref="AB73" si="52">AB72*19.5%</f>
        <v>362074.04727270425</v>
      </c>
      <c r="AC73" s="192">
        <f t="shared" ref="AC73" si="53">AC72*19.5%</f>
        <v>398281.45199997473</v>
      </c>
      <c r="AD73" s="192">
        <f t="shared" ref="AD73" si="54">AD72*19.5%</f>
        <v>438109.5971999722</v>
      </c>
      <c r="AE73" s="192">
        <f t="shared" ref="AE73" si="55">AE72*19.5%</f>
        <v>481920.55691996956</v>
      </c>
      <c r="AF73" s="192">
        <f t="shared" ref="AF73" si="56">AF72*19.5%</f>
        <v>530112.61261196644</v>
      </c>
      <c r="AG73" s="192">
        <f t="shared" ref="AG73" si="57">AG72*19.5%</f>
        <v>583123.87387316313</v>
      </c>
      <c r="AH73" s="192">
        <f t="shared" ref="AH73" si="58">AH72*19.5%</f>
        <v>641436.26126047946</v>
      </c>
      <c r="AI73" s="192">
        <f t="shared" ref="AI73" si="59">AI72*19.5%</f>
        <v>705579.88738652749</v>
      </c>
      <c r="AJ73" s="192">
        <f t="shared" ref="AJ73" si="60">AJ72*19.5%</f>
        <v>776137.8761251804</v>
      </c>
      <c r="AK73" s="192">
        <f t="shared" ref="AK73" si="61">AK72*19.5%</f>
        <v>853751.66373769846</v>
      </c>
      <c r="AL73" s="192">
        <f t="shared" ref="AL73" si="62">AL72*19.5%</f>
        <v>939126.83011146844</v>
      </c>
      <c r="AM73" s="192">
        <f t="shared" ref="AM73" si="63">AM72*19.5%</f>
        <v>1033039.5131226154</v>
      </c>
      <c r="AN73" s="192">
        <f t="shared" ref="AN73" si="64">AN72*19.5%</f>
        <v>1136343.4644348773</v>
      </c>
      <c r="AO73" s="192">
        <f>AO72*19.5%</f>
        <v>1249977.8108783648</v>
      </c>
      <c r="AP73" s="192">
        <f t="shared" ref="AP73" si="65">AP72*19.5%</f>
        <v>1374975.5919662016</v>
      </c>
      <c r="AQ73" s="192">
        <f t="shared" ref="AQ73" si="66">AQ72*19.5%</f>
        <v>1512473.1511628218</v>
      </c>
      <c r="AR73" s="192">
        <f t="shared" ref="AR73" si="67">AR72*19.5%</f>
        <v>1663720.4662791041</v>
      </c>
      <c r="AS73" s="192">
        <f t="shared" ref="AS73" si="68">AS72*19.5%</f>
        <v>1830092.5129070147</v>
      </c>
    </row>
    <row r="74" spans="1:46" s="104" customFormat="1">
      <c r="A74" s="193"/>
      <c r="B74" s="192" t="s">
        <v>340</v>
      </c>
      <c r="C74" s="192">
        <v>138000</v>
      </c>
      <c r="D74" s="192">
        <v>138000</v>
      </c>
      <c r="E74" s="192">
        <v>138000</v>
      </c>
      <c r="F74" s="194" t="s">
        <v>376</v>
      </c>
      <c r="G74" s="195" t="s">
        <v>376</v>
      </c>
      <c r="H74" s="192">
        <f>H70*$G9</f>
        <v>184000</v>
      </c>
      <c r="I74" s="192">
        <f t="shared" ref="I74:Y74" si="69">I70*$G9</f>
        <v>202399.99999999997</v>
      </c>
      <c r="J74" s="192">
        <f t="shared" si="69"/>
        <v>222639.99999999997</v>
      </c>
      <c r="K74" s="192">
        <f t="shared" si="69"/>
        <v>244903.99999999997</v>
      </c>
      <c r="L74" s="192">
        <f t="shared" si="69"/>
        <v>269394.39999999997</v>
      </c>
      <c r="M74" s="192">
        <f t="shared" si="69"/>
        <v>296333.83999999997</v>
      </c>
      <c r="N74" s="192">
        <f t="shared" si="69"/>
        <v>325967.22400000005</v>
      </c>
      <c r="O74" s="192">
        <f t="shared" si="69"/>
        <v>358563.94640000007</v>
      </c>
      <c r="P74" s="192">
        <f t="shared" si="69"/>
        <v>394420.34104000009</v>
      </c>
      <c r="Q74" s="192">
        <f t="shared" si="69"/>
        <v>433862.37514400011</v>
      </c>
      <c r="R74" s="192">
        <f t="shared" si="69"/>
        <v>477248.61265840015</v>
      </c>
      <c r="S74" s="192">
        <f t="shared" si="69"/>
        <v>524973.47392424021</v>
      </c>
      <c r="T74" s="192">
        <f t="shared" si="69"/>
        <v>577470.82131666434</v>
      </c>
      <c r="U74" s="192">
        <f t="shared" si="69"/>
        <v>635217.90344833082</v>
      </c>
      <c r="V74" s="192">
        <f t="shared" si="69"/>
        <v>698739.69379316387</v>
      </c>
      <c r="W74" s="192">
        <f t="shared" si="69"/>
        <v>768613.6631724803</v>
      </c>
      <c r="X74" s="192">
        <f t="shared" si="69"/>
        <v>845475.02948972839</v>
      </c>
      <c r="Y74" s="192">
        <f t="shared" si="69"/>
        <v>930022.53243870137</v>
      </c>
      <c r="Z74" s="192">
        <f>Z70*$G9</f>
        <v>1023024.7856825716</v>
      </c>
      <c r="AA74" s="192">
        <f t="shared" ref="AA74:AN74" si="70">AA70*$G9</f>
        <v>1125327.2642508289</v>
      </c>
      <c r="AB74" s="192">
        <f t="shared" si="70"/>
        <v>1237859.9906759118</v>
      </c>
      <c r="AC74" s="192">
        <f t="shared" si="70"/>
        <v>1361645.989743503</v>
      </c>
      <c r="AD74" s="192">
        <f t="shared" si="70"/>
        <v>1497810.5887178537</v>
      </c>
      <c r="AE74" s="192">
        <f t="shared" si="70"/>
        <v>1647591.6475896391</v>
      </c>
      <c r="AF74" s="192">
        <f t="shared" si="70"/>
        <v>1812350.812348603</v>
      </c>
      <c r="AG74" s="192">
        <f t="shared" si="70"/>
        <v>1993585.8935834635</v>
      </c>
      <c r="AH74" s="192">
        <f t="shared" si="70"/>
        <v>2192944.48294181</v>
      </c>
      <c r="AI74" s="192">
        <f t="shared" si="70"/>
        <v>2412238.931235991</v>
      </c>
      <c r="AJ74" s="192">
        <f t="shared" si="70"/>
        <v>2653462.8243595907</v>
      </c>
      <c r="AK74" s="192">
        <f t="shared" si="70"/>
        <v>2918809.1067955499</v>
      </c>
      <c r="AL74" s="192">
        <f t="shared" si="70"/>
        <v>3210690.0174751054</v>
      </c>
      <c r="AM74" s="192">
        <f t="shared" si="70"/>
        <v>3531759.0192226162</v>
      </c>
      <c r="AN74" s="192">
        <f t="shared" si="70"/>
        <v>3884934.9211448785</v>
      </c>
      <c r="AO74" s="192">
        <f>AO70*$G9</f>
        <v>4273428.4132593665</v>
      </c>
      <c r="AP74" s="192">
        <f t="shared" ref="AP74:AS74" si="71">AP70*$G9</f>
        <v>4700771.2545853043</v>
      </c>
      <c r="AQ74" s="192">
        <f t="shared" si="71"/>
        <v>5170848.3800438344</v>
      </c>
      <c r="AR74" s="192">
        <f t="shared" si="71"/>
        <v>5687933.2180482186</v>
      </c>
      <c r="AS74" s="192">
        <f t="shared" si="71"/>
        <v>6256726.5398530411</v>
      </c>
    </row>
    <row r="75" spans="1:46" s="158" customFormat="1">
      <c r="A75" s="153"/>
      <c r="B75" s="160" t="s">
        <v>379</v>
      </c>
      <c r="C75" s="160">
        <f>C72-C73-C74</f>
        <v>1104</v>
      </c>
      <c r="D75" s="160">
        <f>D72-D73-D74</f>
        <v>12696</v>
      </c>
      <c r="E75" s="160">
        <f>E72-E73-E74</f>
        <v>24288</v>
      </c>
      <c r="F75" s="185">
        <f>-1*SUM(F65:F69)</f>
        <v>-156000</v>
      </c>
      <c r="G75" s="189">
        <f>-1*SUM(G65:G69)</f>
        <v>-96000</v>
      </c>
      <c r="H75" s="196">
        <f>H72-H73-H74</f>
        <v>38180</v>
      </c>
      <c r="I75" s="196">
        <f t="shared" ref="I75:X75" si="72">I72-I73-I74</f>
        <v>41998.000000000029</v>
      </c>
      <c r="J75" s="196">
        <f t="shared" si="72"/>
        <v>46197.800000000017</v>
      </c>
      <c r="K75" s="196">
        <f t="shared" si="72"/>
        <v>50817.580000000045</v>
      </c>
      <c r="L75" s="196">
        <f t="shared" si="72"/>
        <v>55899.338000000047</v>
      </c>
      <c r="M75" s="196">
        <f t="shared" si="72"/>
        <v>61489.271800000046</v>
      </c>
      <c r="N75" s="196">
        <f t="shared" si="72"/>
        <v>67638.198979999986</v>
      </c>
      <c r="O75" s="196">
        <f t="shared" si="72"/>
        <v>74402.018878000032</v>
      </c>
      <c r="P75" s="196">
        <f t="shared" si="72"/>
        <v>81842.220765799982</v>
      </c>
      <c r="Q75" s="196">
        <f t="shared" si="72"/>
        <v>90026.442842380085</v>
      </c>
      <c r="R75" s="196">
        <f t="shared" si="72"/>
        <v>99029.087126618077</v>
      </c>
      <c r="S75" s="196">
        <f t="shared" si="72"/>
        <v>108931.99583927984</v>
      </c>
      <c r="T75" s="196">
        <f t="shared" si="72"/>
        <v>119825.19542320783</v>
      </c>
      <c r="U75" s="196">
        <f t="shared" si="72"/>
        <v>131807.71496552869</v>
      </c>
      <c r="V75" s="196">
        <f t="shared" si="72"/>
        <v>144988.48646208155</v>
      </c>
      <c r="W75" s="196">
        <f t="shared" si="72"/>
        <v>159487.33510828973</v>
      </c>
      <c r="X75" s="196">
        <f t="shared" si="72"/>
        <v>175436.06861911877</v>
      </c>
      <c r="Y75" s="196">
        <f>Y72-Y73-Y74</f>
        <v>192979.67548103037</v>
      </c>
      <c r="Z75" s="196">
        <f t="shared" ref="Z75" si="73">Z72-Z73-Z74</f>
        <v>212277.64302913356</v>
      </c>
      <c r="AA75" s="196">
        <f t="shared" ref="AA75" si="74">AA72-AA73-AA74</f>
        <v>233505.40733204689</v>
      </c>
      <c r="AB75" s="196">
        <f t="shared" ref="AB75" si="75">AB72-AB73-AB74</f>
        <v>256855.94806525181</v>
      </c>
      <c r="AC75" s="196">
        <f t="shared" ref="AC75" si="76">AC72-AC73-AC74</f>
        <v>282541.5428717772</v>
      </c>
      <c r="AD75" s="196">
        <f t="shared" ref="AD75" si="77">AD72-AD73-AD74</f>
        <v>310795.69715895457</v>
      </c>
      <c r="AE75" s="196">
        <f t="shared" ref="AE75" si="78">AE72-AE73-AE74</f>
        <v>341875.26687485049</v>
      </c>
      <c r="AF75" s="196">
        <f t="shared" ref="AF75" si="79">AF72-AF73-AF74</f>
        <v>376062.7935623352</v>
      </c>
      <c r="AG75" s="196">
        <f t="shared" ref="AG75" si="80">AG72-AG73-AG74</f>
        <v>413669.07291856874</v>
      </c>
      <c r="AH75" s="196">
        <f t="shared" ref="AH75" si="81">AH72-AH73-AH74</f>
        <v>455035.98021042533</v>
      </c>
      <c r="AI75" s="196">
        <f t="shared" ref="AI75" si="82">AI72-AI73-AI74</f>
        <v>500539.5782314688</v>
      </c>
      <c r="AJ75" s="196">
        <f t="shared" ref="AJ75" si="83">AJ72-AJ73-AJ74</f>
        <v>550593.5360546154</v>
      </c>
      <c r="AK75" s="196">
        <f t="shared" ref="AK75" si="84">AK72-AK73-AK74</f>
        <v>605652.8896600767</v>
      </c>
      <c r="AL75" s="196">
        <f t="shared" ref="AL75" si="85">AL72-AL73-AL74</f>
        <v>666218.17862608517</v>
      </c>
      <c r="AM75" s="196">
        <f t="shared" ref="AM75" si="86">AM72-AM73-AM74</f>
        <v>732839.99648869317</v>
      </c>
      <c r="AN75" s="196">
        <f t="shared" ref="AN75" si="87">AN72-AN73-AN74</f>
        <v>806123.99613756314</v>
      </c>
      <c r="AO75" s="196">
        <f>AO72-AO73-AO74</f>
        <v>886736.39575131983</v>
      </c>
      <c r="AP75" s="196">
        <f t="shared" ref="AP75" si="88">AP72-AP73-AP74</f>
        <v>975410.03532645106</v>
      </c>
      <c r="AQ75" s="196">
        <f t="shared" ref="AQ75" si="89">AQ72-AQ73-AQ74</f>
        <v>1072951.0388590964</v>
      </c>
      <c r="AR75" s="196">
        <f t="shared" ref="AR75" si="90">AR72-AR73-AR74</f>
        <v>1180246.142745005</v>
      </c>
      <c r="AS75" s="196">
        <f t="shared" ref="AS75" si="91">AS72-AS73-AS74</f>
        <v>1298270.7570195058</v>
      </c>
    </row>
    <row r="76" spans="1:46">
      <c r="B76" s="164" t="s">
        <v>365</v>
      </c>
      <c r="C76" s="163">
        <f>C75</f>
        <v>1104</v>
      </c>
      <c r="D76" s="163">
        <f>C76+D75</f>
        <v>13800</v>
      </c>
      <c r="E76" s="163">
        <f>D76+E75</f>
        <v>38088</v>
      </c>
      <c r="F76" s="203"/>
      <c r="G76" s="200"/>
      <c r="H76" s="163"/>
      <c r="I76" s="163"/>
      <c r="J76" s="163"/>
      <c r="K76" s="163"/>
      <c r="L76" s="163"/>
      <c r="M76" s="163"/>
      <c r="N76" s="163"/>
      <c r="O76" s="163"/>
      <c r="P76" s="163"/>
      <c r="Q76" s="163"/>
      <c r="R76" s="163"/>
      <c r="S76" s="163"/>
      <c r="T76" s="163"/>
      <c r="U76" s="163"/>
      <c r="V76" s="163"/>
      <c r="W76" s="163"/>
      <c r="X76" s="163"/>
      <c r="Y76" s="163"/>
      <c r="Z76" s="163"/>
      <c r="AA76" s="163"/>
      <c r="AB76" s="163"/>
      <c r="AC76" s="163"/>
      <c r="AD76" s="163"/>
      <c r="AE76" s="163"/>
      <c r="AF76" s="163"/>
      <c r="AG76" s="163"/>
      <c r="AH76" s="163"/>
      <c r="AI76" s="163"/>
      <c r="AJ76" s="163"/>
      <c r="AK76" s="163"/>
      <c r="AL76" s="163"/>
      <c r="AM76" s="163"/>
      <c r="AN76" s="163"/>
      <c r="AO76" s="163"/>
      <c r="AP76" s="163"/>
      <c r="AQ76" s="163"/>
      <c r="AR76" s="163"/>
      <c r="AS76" s="163"/>
    </row>
    <row r="77" spans="1:46" s="191" customFormat="1">
      <c r="A77" s="193"/>
      <c r="B77" s="159" t="s">
        <v>380</v>
      </c>
      <c r="C77" s="159">
        <f>0</f>
        <v>0</v>
      </c>
      <c r="D77" s="159">
        <f>(C76+C78)*10%</f>
        <v>110.4</v>
      </c>
      <c r="E77" s="159">
        <f>(D76+D78)*10%</f>
        <v>1391.04</v>
      </c>
      <c r="F77" s="190">
        <f>E80-F80</f>
        <v>252000</v>
      </c>
      <c r="G77" s="197">
        <f>IF(F80&lt;0,F80*12%,F80*5%)</f>
        <v>-25489.267199999998</v>
      </c>
      <c r="H77" s="191">
        <f>IF(G80&lt;0,G80*12%,G80*10%)</f>
        <v>-28547.979263999998</v>
      </c>
      <c r="I77" s="191">
        <f t="shared" ref="I77:AS77" si="92">IF(H80&lt;0,H80*12%,H80*10%)</f>
        <v>-27392.136775679999</v>
      </c>
      <c r="J77" s="191">
        <f t="shared" si="92"/>
        <v>-25639.433188761595</v>
      </c>
      <c r="K77" s="191">
        <f t="shared" si="92"/>
        <v>-23172.429171412983</v>
      </c>
      <c r="L77" s="191">
        <f t="shared" si="92"/>
        <v>-19855.011071982535</v>
      </c>
      <c r="M77" s="191">
        <f t="shared" si="92"/>
        <v>-15529.691840620433</v>
      </c>
      <c r="N77" s="191">
        <f t="shared" si="92"/>
        <v>-10014.54224549488</v>
      </c>
      <c r="O77" s="191">
        <f t="shared" si="92"/>
        <v>-3099.7034373542679</v>
      </c>
      <c r="P77" s="191">
        <f t="shared" si="92"/>
        <v>4547.1453462693526</v>
      </c>
      <c r="Q77" s="191">
        <f t="shared" si="92"/>
        <v>13186.081957476286</v>
      </c>
      <c r="R77" s="191">
        <f t="shared" si="92"/>
        <v>23507.334437461926</v>
      </c>
      <c r="S77" s="191">
        <f t="shared" si="92"/>
        <v>35760.976593869927</v>
      </c>
      <c r="T77" s="191">
        <f t="shared" si="92"/>
        <v>50230.273837184905</v>
      </c>
      <c r="U77" s="191">
        <f t="shared" si="92"/>
        <v>67235.820763224168</v>
      </c>
      <c r="V77" s="191">
        <f t="shared" si="92"/>
        <v>87140.174336099459</v>
      </c>
      <c r="W77" s="191">
        <f t="shared" si="92"/>
        <v>110353.04041591755</v>
      </c>
      <c r="X77" s="191">
        <f t="shared" si="92"/>
        <v>137337.07796833827</v>
      </c>
      <c r="Y77" s="191">
        <f t="shared" si="92"/>
        <v>168614.39262708399</v>
      </c>
      <c r="Z77" s="191">
        <f>IF(Y80&lt;0,Y80*12%,Y80*10%)</f>
        <v>204773.79943789542</v>
      </c>
      <c r="AA77" s="191">
        <f t="shared" si="92"/>
        <v>246478.94368459831</v>
      </c>
      <c r="AB77" s="191">
        <f t="shared" si="92"/>
        <v>294477.37878626282</v>
      </c>
      <c r="AC77" s="191">
        <f t="shared" si="92"/>
        <v>349610.71147141431</v>
      </c>
      <c r="AD77" s="191">
        <f t="shared" si="92"/>
        <v>412825.93690573343</v>
      </c>
      <c r="AE77" s="191">
        <f t="shared" si="92"/>
        <v>485188.10031220218</v>
      </c>
      <c r="AF77" s="191">
        <f t="shared" si="92"/>
        <v>567894.43703090749</v>
      </c>
      <c r="AG77" s="191">
        <f t="shared" si="92"/>
        <v>662290.1600902318</v>
      </c>
      <c r="AH77" s="191">
        <f t="shared" si="92"/>
        <v>769886.08339111181</v>
      </c>
      <c r="AI77" s="191">
        <f t="shared" si="92"/>
        <v>892378.28975126543</v>
      </c>
      <c r="AJ77" s="191">
        <f t="shared" si="92"/>
        <v>1031670.0765495389</v>
      </c>
      <c r="AK77" s="191">
        <f t="shared" si="92"/>
        <v>1189896.4378099542</v>
      </c>
      <c r="AL77" s="191">
        <f t="shared" si="92"/>
        <v>1369451.3705569573</v>
      </c>
      <c r="AM77" s="191">
        <f t="shared" si="92"/>
        <v>1573018.3254752615</v>
      </c>
      <c r="AN77" s="191">
        <f t="shared" si="92"/>
        <v>1803604.1576716569</v>
      </c>
      <c r="AO77" s="191">
        <f t="shared" si="92"/>
        <v>2064576.973052579</v>
      </c>
      <c r="AP77" s="191">
        <f>IF(AO80&lt;0,AO80*12%,AO80*10%)</f>
        <v>2359708.309932969</v>
      </c>
      <c r="AQ77" s="191">
        <f t="shared" si="92"/>
        <v>2693220.1444589109</v>
      </c>
      <c r="AR77" s="191">
        <f t="shared" si="92"/>
        <v>3069837.2627907116</v>
      </c>
      <c r="AS77" s="191">
        <f t="shared" si="92"/>
        <v>3494845.6033442835</v>
      </c>
    </row>
    <row r="78" spans="1:46">
      <c r="B78" s="164" t="s">
        <v>347</v>
      </c>
      <c r="C78" s="163">
        <f>C77</f>
        <v>0</v>
      </c>
      <c r="D78" s="163">
        <f>C78+D77</f>
        <v>110.4</v>
      </c>
      <c r="E78" s="163">
        <f>D78+E77</f>
        <v>1501.44</v>
      </c>
      <c r="F78" s="203"/>
      <c r="G78" s="200"/>
      <c r="H78" s="163"/>
      <c r="I78" s="163"/>
      <c r="J78" s="163"/>
      <c r="K78" s="163"/>
      <c r="L78" s="163"/>
      <c r="M78" s="163"/>
      <c r="N78" s="163"/>
      <c r="O78" s="163"/>
      <c r="P78" s="163"/>
      <c r="Q78" s="163"/>
      <c r="R78" s="163"/>
      <c r="S78" s="163"/>
      <c r="T78" s="163"/>
      <c r="U78" s="163"/>
      <c r="V78" s="163"/>
      <c r="W78" s="163"/>
      <c r="X78" s="163"/>
      <c r="Y78" s="163"/>
      <c r="Z78" s="163"/>
      <c r="AA78" s="163"/>
      <c r="AB78" s="163"/>
      <c r="AC78" s="163"/>
      <c r="AD78" s="163"/>
      <c r="AE78" s="163"/>
      <c r="AF78" s="163"/>
      <c r="AG78" s="163"/>
      <c r="AH78" s="163"/>
      <c r="AI78" s="163"/>
      <c r="AJ78" s="163"/>
      <c r="AK78" s="163"/>
      <c r="AL78" s="163"/>
      <c r="AM78" s="163"/>
      <c r="AN78" s="163"/>
      <c r="AO78" s="163"/>
      <c r="AP78" s="163"/>
      <c r="AQ78" s="163"/>
      <c r="AR78" s="163"/>
      <c r="AS78" s="163"/>
    </row>
    <row r="79" spans="1:46" s="158" customFormat="1">
      <c r="A79" s="153"/>
      <c r="B79" s="160" t="s">
        <v>205</v>
      </c>
      <c r="C79" s="160">
        <f>C75+C77</f>
        <v>1104</v>
      </c>
      <c r="D79" s="160">
        <f>D75+D77</f>
        <v>12806.4</v>
      </c>
      <c r="E79" s="160">
        <f>E75+E77</f>
        <v>25679.040000000001</v>
      </c>
      <c r="F79" s="204">
        <f t="shared" ref="F79:AS79" si="93">F75+F77</f>
        <v>96000</v>
      </c>
      <c r="G79" s="201">
        <f t="shared" si="93"/>
        <v>-121489.2672</v>
      </c>
      <c r="H79" s="160">
        <f t="shared" si="93"/>
        <v>9632.0207360000022</v>
      </c>
      <c r="I79" s="160">
        <f t="shared" si="93"/>
        <v>14605.86322432003</v>
      </c>
      <c r="J79" s="160">
        <f t="shared" si="93"/>
        <v>20558.366811238422</v>
      </c>
      <c r="K79" s="160">
        <f t="shared" si="93"/>
        <v>27645.150828587062</v>
      </c>
      <c r="L79" s="160">
        <f t="shared" si="93"/>
        <v>36044.326928017515</v>
      </c>
      <c r="M79" s="160">
        <f t="shared" si="93"/>
        <v>45959.579959379611</v>
      </c>
      <c r="N79" s="160">
        <f t="shared" si="93"/>
        <v>57623.656734505108</v>
      </c>
      <c r="O79" s="160">
        <f t="shared" si="93"/>
        <v>71302.315440645762</v>
      </c>
      <c r="P79" s="160">
        <f t="shared" si="93"/>
        <v>86389.366112069329</v>
      </c>
      <c r="Q79" s="160">
        <f t="shared" si="93"/>
        <v>103212.52479985637</v>
      </c>
      <c r="R79" s="160">
        <f t="shared" si="93"/>
        <v>122536.42156408</v>
      </c>
      <c r="S79" s="160">
        <f t="shared" si="93"/>
        <v>144692.97243314976</v>
      </c>
      <c r="T79" s="160">
        <f t="shared" si="93"/>
        <v>170055.46926039274</v>
      </c>
      <c r="U79" s="160">
        <f t="shared" si="93"/>
        <v>199043.53572875285</v>
      </c>
      <c r="V79" s="160">
        <f t="shared" si="93"/>
        <v>232128.66079818102</v>
      </c>
      <c r="W79" s="160">
        <f t="shared" si="93"/>
        <v>269840.37552420725</v>
      </c>
      <c r="X79" s="160">
        <f t="shared" si="93"/>
        <v>312773.14658745704</v>
      </c>
      <c r="Y79" s="160">
        <f t="shared" si="93"/>
        <v>361594.06810811436</v>
      </c>
      <c r="Z79" s="160">
        <f t="shared" si="93"/>
        <v>417051.44246702897</v>
      </c>
      <c r="AA79" s="160">
        <f t="shared" si="93"/>
        <v>479984.3510166452</v>
      </c>
      <c r="AB79" s="160">
        <f t="shared" si="93"/>
        <v>551333.32685151463</v>
      </c>
      <c r="AC79" s="160">
        <f t="shared" si="93"/>
        <v>632152.25434319151</v>
      </c>
      <c r="AD79" s="160">
        <f t="shared" si="93"/>
        <v>723621.634064688</v>
      </c>
      <c r="AE79" s="160">
        <f t="shared" si="93"/>
        <v>827063.36718705273</v>
      </c>
      <c r="AF79" s="160">
        <f t="shared" si="93"/>
        <v>943957.23059324268</v>
      </c>
      <c r="AG79" s="160">
        <f t="shared" si="93"/>
        <v>1075959.2330088005</v>
      </c>
      <c r="AH79" s="160">
        <f t="shared" si="93"/>
        <v>1224922.0636015371</v>
      </c>
      <c r="AI79" s="160">
        <f t="shared" si="93"/>
        <v>1392917.8679827342</v>
      </c>
      <c r="AJ79" s="160">
        <f t="shared" si="93"/>
        <v>1582263.6126041543</v>
      </c>
      <c r="AK79" s="160">
        <f t="shared" si="93"/>
        <v>1795549.3274700309</v>
      </c>
      <c r="AL79" s="160">
        <f t="shared" si="93"/>
        <v>2035669.5491830425</v>
      </c>
      <c r="AM79" s="160">
        <f t="shared" si="93"/>
        <v>2305858.3219639547</v>
      </c>
      <c r="AN79" s="160">
        <f t="shared" si="93"/>
        <v>2609728.1538092201</v>
      </c>
      <c r="AO79" s="160">
        <f t="shared" si="93"/>
        <v>2951313.3688038988</v>
      </c>
      <c r="AP79" s="160">
        <f t="shared" si="93"/>
        <v>3335118.3452594201</v>
      </c>
      <c r="AQ79" s="160">
        <f t="shared" si="93"/>
        <v>3766171.1833180073</v>
      </c>
      <c r="AR79" s="160">
        <f t="shared" si="93"/>
        <v>4250083.4055357166</v>
      </c>
      <c r="AS79" s="160">
        <f t="shared" si="93"/>
        <v>4793116.3603637889</v>
      </c>
    </row>
    <row r="80" spans="1:46" s="187" customFormat="1">
      <c r="A80" s="169"/>
      <c r="B80" s="160" t="s">
        <v>378</v>
      </c>
      <c r="C80" s="160">
        <f>C79</f>
        <v>1104</v>
      </c>
      <c r="D80" s="160">
        <f>C80+D79</f>
        <v>13910.4</v>
      </c>
      <c r="E80" s="160">
        <f>D80+E79</f>
        <v>39589.440000000002</v>
      </c>
      <c r="F80" s="190">
        <f>-C61</f>
        <v>-212410.56</v>
      </c>
      <c r="G80" s="197">
        <f>F80+G77</f>
        <v>-237899.8272</v>
      </c>
      <c r="H80" s="196">
        <f>G80+H75+IF(G80&lt;0,G80*12%,G80*10%)</f>
        <v>-228267.80646399999</v>
      </c>
      <c r="I80" s="196">
        <f t="shared" ref="I80:AS80" si="94">H80+I75+IF(H80&lt;0,H80*12%,H80*10%)</f>
        <v>-213661.94323967997</v>
      </c>
      <c r="J80" s="196">
        <f t="shared" si="94"/>
        <v>-193103.57642844153</v>
      </c>
      <c r="K80" s="196">
        <f t="shared" si="94"/>
        <v>-165458.42559985447</v>
      </c>
      <c r="L80" s="196">
        <f t="shared" si="94"/>
        <v>-129414.09867183695</v>
      </c>
      <c r="M80" s="196">
        <f t="shared" si="94"/>
        <v>-83454.518712457342</v>
      </c>
      <c r="N80" s="196">
        <f t="shared" si="94"/>
        <v>-25830.861977952234</v>
      </c>
      <c r="O80" s="196">
        <f t="shared" si="94"/>
        <v>45471.453462693527</v>
      </c>
      <c r="P80" s="196">
        <f t="shared" si="94"/>
        <v>131860.81957476286</v>
      </c>
      <c r="Q80" s="196">
        <f t="shared" si="94"/>
        <v>235073.34437461925</v>
      </c>
      <c r="R80" s="196">
        <f t="shared" si="94"/>
        <v>357609.76593869925</v>
      </c>
      <c r="S80" s="196">
        <f t="shared" si="94"/>
        <v>502302.738371849</v>
      </c>
      <c r="T80" s="196">
        <f t="shared" si="94"/>
        <v>672358.20763224165</v>
      </c>
      <c r="U80" s="196">
        <f t="shared" si="94"/>
        <v>871401.7433609945</v>
      </c>
      <c r="V80" s="196">
        <f t="shared" si="94"/>
        <v>1103530.4041591755</v>
      </c>
      <c r="W80" s="196">
        <f t="shared" si="94"/>
        <v>1373370.7796833827</v>
      </c>
      <c r="X80" s="196">
        <f t="shared" si="94"/>
        <v>1686143.9262708398</v>
      </c>
      <c r="Y80" s="196">
        <f t="shared" si="94"/>
        <v>2047737.9943789539</v>
      </c>
      <c r="Z80" s="196">
        <f t="shared" si="94"/>
        <v>2464789.4368459829</v>
      </c>
      <c r="AA80" s="196">
        <f t="shared" si="94"/>
        <v>2944773.7878626282</v>
      </c>
      <c r="AB80" s="196">
        <f t="shared" si="94"/>
        <v>3496107.1147141429</v>
      </c>
      <c r="AC80" s="196">
        <f>AB80+AC75+IF(AB80&lt;0,AB80*12%,AB80*10%)</f>
        <v>4128259.369057334</v>
      </c>
      <c r="AD80" s="196">
        <f t="shared" si="94"/>
        <v>4851881.0031220214</v>
      </c>
      <c r="AE80" s="196">
        <f t="shared" si="94"/>
        <v>5678944.3703090744</v>
      </c>
      <c r="AF80" s="196">
        <f t="shared" si="94"/>
        <v>6622901.6009023171</v>
      </c>
      <c r="AG80" s="196">
        <f t="shared" si="94"/>
        <v>7698860.8339111172</v>
      </c>
      <c r="AH80" s="196">
        <f t="shared" si="94"/>
        <v>8923782.8975126538</v>
      </c>
      <c r="AI80" s="196">
        <f t="shared" si="94"/>
        <v>10316700.765495388</v>
      </c>
      <c r="AJ80" s="196">
        <f t="shared" si="94"/>
        <v>11898964.378099542</v>
      </c>
      <c r="AK80" s="196">
        <f t="shared" si="94"/>
        <v>13694513.705569573</v>
      </c>
      <c r="AL80" s="196">
        <f t="shared" si="94"/>
        <v>15730183.254752615</v>
      </c>
      <c r="AM80" s="196">
        <f t="shared" si="94"/>
        <v>18036041.576716568</v>
      </c>
      <c r="AN80" s="196">
        <f t="shared" si="94"/>
        <v>20645769.730525788</v>
      </c>
      <c r="AO80" s="196">
        <f t="shared" si="94"/>
        <v>23597083.099329688</v>
      </c>
      <c r="AP80" s="196">
        <f t="shared" si="94"/>
        <v>26932201.444589108</v>
      </c>
      <c r="AQ80" s="196">
        <f t="shared" si="94"/>
        <v>30698372.627907116</v>
      </c>
      <c r="AR80" s="196">
        <f t="shared" si="94"/>
        <v>34948456.033442833</v>
      </c>
      <c r="AS80" s="196">
        <f t="shared" si="94"/>
        <v>39741572.393806621</v>
      </c>
    </row>
    <row r="81" spans="1:45" s="158" customFormat="1">
      <c r="A81" s="153"/>
      <c r="B81" s="160" t="s">
        <v>358</v>
      </c>
      <c r="F81" s="198">
        <f>-PV($C52,F63,0,F75)</f>
        <v>-136842.10526315789</v>
      </c>
      <c r="G81" s="202">
        <f t="shared" ref="G81:AS81" si="95">-PV($C52,G63,0,G75)</f>
        <v>-73868.882733148639</v>
      </c>
      <c r="H81" s="199">
        <f t="shared" si="95"/>
        <v>25770.412488592974</v>
      </c>
      <c r="I81" s="199">
        <f t="shared" si="95"/>
        <v>24866.187488993233</v>
      </c>
      <c r="J81" s="199">
        <f t="shared" si="95"/>
        <v>23993.689682361881</v>
      </c>
      <c r="K81" s="199">
        <f t="shared" si="95"/>
        <v>23151.805833857965</v>
      </c>
      <c r="L81" s="199">
        <f t="shared" si="95"/>
        <v>22339.461769512069</v>
      </c>
      <c r="M81" s="199">
        <f t="shared" si="95"/>
        <v>21555.621005669534</v>
      </c>
      <c r="N81" s="199">
        <f t="shared" si="95"/>
        <v>20799.283426523212</v>
      </c>
      <c r="O81" s="199">
        <f t="shared" si="95"/>
        <v>20069.484008048723</v>
      </c>
      <c r="P81" s="199">
        <f t="shared" si="95"/>
        <v>19365.291586713665</v>
      </c>
      <c r="Q81" s="199">
        <f t="shared" si="95"/>
        <v>18685.807671390397</v>
      </c>
      <c r="R81" s="199">
        <f t="shared" si="95"/>
        <v>18030.165296955642</v>
      </c>
      <c r="S81" s="199">
        <f t="shared" si="95"/>
        <v>17397.527918115087</v>
      </c>
      <c r="T81" s="199">
        <f t="shared" si="95"/>
        <v>16787.088342040872</v>
      </c>
      <c r="U81" s="199">
        <f t="shared" si="95"/>
        <v>16198.067698460496</v>
      </c>
      <c r="V81" s="199">
        <f t="shared" si="95"/>
        <v>15629.714445882932</v>
      </c>
      <c r="W81" s="199">
        <f t="shared" si="95"/>
        <v>15081.303412694058</v>
      </c>
      <c r="X81" s="199">
        <f t="shared" si="95"/>
        <v>14552.134871897781</v>
      </c>
      <c r="Y81" s="199">
        <f t="shared" si="95"/>
        <v>14041.533648322398</v>
      </c>
      <c r="Z81" s="199">
        <f t="shared" si="95"/>
        <v>13548.848257153199</v>
      </c>
      <c r="AA81" s="199">
        <f t="shared" si="95"/>
        <v>13073.450072691681</v>
      </c>
      <c r="AB81" s="199">
        <f t="shared" si="95"/>
        <v>12614.732526281456</v>
      </c>
      <c r="AC81" s="199">
        <f t="shared" si="95"/>
        <v>12172.110332376849</v>
      </c>
      <c r="AD81" s="199">
        <f t="shared" si="95"/>
        <v>11745.018741767122</v>
      </c>
      <c r="AE81" s="199">
        <f t="shared" si="95"/>
        <v>11332.912821003376</v>
      </c>
      <c r="AF81" s="199">
        <f t="shared" si="95"/>
        <v>10935.266757108509</v>
      </c>
      <c r="AG81" s="199">
        <f t="shared" si="95"/>
        <v>10551.573186683649</v>
      </c>
      <c r="AH81" s="199">
        <f t="shared" si="95"/>
        <v>10181.34254855439</v>
      </c>
      <c r="AI81" s="199">
        <f t="shared" si="95"/>
        <v>9824.1024591314472</v>
      </c>
      <c r="AJ81" s="199">
        <f t="shared" si="95"/>
        <v>9479.3971096882342</v>
      </c>
      <c r="AK81" s="199">
        <f t="shared" si="95"/>
        <v>9146.7866847868863</v>
      </c>
      <c r="AL81" s="199">
        <f t="shared" si="95"/>
        <v>8825.8468011101631</v>
      </c>
      <c r="AM81" s="199">
        <f t="shared" si="95"/>
        <v>8516.1679659834845</v>
      </c>
      <c r="AN81" s="199">
        <f t="shared" si="95"/>
        <v>8217.3550548963522</v>
      </c>
      <c r="AO81" s="199">
        <f t="shared" si="95"/>
        <v>7929.0268073561292</v>
      </c>
      <c r="AP81" s="199">
        <f t="shared" si="95"/>
        <v>7650.8153404313471</v>
      </c>
      <c r="AQ81" s="199">
        <f t="shared" si="95"/>
        <v>7382.365679363581</v>
      </c>
      <c r="AR81" s="199">
        <f t="shared" si="95"/>
        <v>7123.335304649062</v>
      </c>
      <c r="AS81" s="199">
        <f t="shared" si="95"/>
        <v>6873.3937150122529</v>
      </c>
    </row>
    <row r="82" spans="1:45" s="158" customFormat="1">
      <c r="A82" s="153"/>
      <c r="B82" s="160" t="s">
        <v>359</v>
      </c>
      <c r="F82" s="190">
        <f>-PV($C52,F63,0,F77)</f>
        <v>221052.63157894733</v>
      </c>
      <c r="G82" s="197">
        <f t="shared" ref="G82:AS82" si="96">-PV($C52,G63,0,G77)</f>
        <v>-19613.163434903043</v>
      </c>
      <c r="H82" s="196">
        <f t="shared" si="96"/>
        <v>-19269.072848325795</v>
      </c>
      <c r="I82" s="196">
        <f t="shared" si="96"/>
        <v>-16218.343939906779</v>
      </c>
      <c r="J82" s="196">
        <f t="shared" si="96"/>
        <v>-13316.318170189828</v>
      </c>
      <c r="K82" s="196">
        <f t="shared" si="96"/>
        <v>-10557.047007657176</v>
      </c>
      <c r="L82" s="196">
        <f t="shared" si="96"/>
        <v>-7934.8034636079637</v>
      </c>
      <c r="M82" s="196">
        <f t="shared" si="96"/>
        <v>-5444.0740937714654</v>
      </c>
      <c r="N82" s="196">
        <f t="shared" si="96"/>
        <v>-3079.5512845120152</v>
      </c>
      <c r="O82" s="196">
        <f t="shared" si="96"/>
        <v>-836.12581357076431</v>
      </c>
      <c r="P82" s="196">
        <f t="shared" si="96"/>
        <v>1075.9336036305485</v>
      </c>
      <c r="Q82" s="196">
        <f t="shared" si="96"/>
        <v>2736.8913356710259</v>
      </c>
      <c r="R82" s="196">
        <f t="shared" si="96"/>
        <v>4279.9659968220776</v>
      </c>
      <c r="S82" s="196">
        <f t="shared" si="96"/>
        <v>5711.3851984209205</v>
      </c>
      <c r="T82" s="196">
        <f t="shared" si="96"/>
        <v>7037.0846579601057</v>
      </c>
      <c r="U82" s="196">
        <f t="shared" si="96"/>
        <v>8262.7210157545614</v>
      </c>
      <c r="V82" s="196">
        <f t="shared" si="96"/>
        <v>9393.6841115579537</v>
      </c>
      <c r="W82" s="196">
        <f t="shared" si="96"/>
        <v>10435.108743247403</v>
      </c>
      <c r="X82" s="196">
        <f t="shared" si="96"/>
        <v>11391.885928808375</v>
      </c>
      <c r="Y82" s="196">
        <f>-PV($C52,Y63,0,Y77)</f>
        <v>12268.673691999114</v>
      </c>
      <c r="Z82" s="196">
        <f t="shared" si="96"/>
        <v>13069.907391255494</v>
      </c>
      <c r="AA82" s="196">
        <f t="shared" si="96"/>
        <v>13799.809610610844</v>
      </c>
      <c r="AB82" s="196">
        <f t="shared" si="96"/>
        <v>14462.399630650081</v>
      </c>
      <c r="AC82" s="196">
        <f t="shared" si="96"/>
        <v>15061.502496792309</v>
      </c>
      <c r="AD82" s="196">
        <f t="shared" si="96"/>
        <v>15600.757701499319</v>
      </c>
      <c r="AE82" s="196">
        <f t="shared" si="96"/>
        <v>16083.627496338559</v>
      </c>
      <c r="AF82" s="196">
        <f t="shared" si="96"/>
        <v>16513.404849186623</v>
      </c>
      <c r="AG82" s="196">
        <f t="shared" si="96"/>
        <v>16893.221061242224</v>
      </c>
      <c r="AH82" s="196">
        <f>-PV($C52,AH63,0,AH77)</f>
        <v>17226.05305792527</v>
      </c>
      <c r="AI82" s="196">
        <f t="shared" si="96"/>
        <v>17514.730367169504</v>
      </c>
      <c r="AJ82" s="196">
        <f t="shared" si="96"/>
        <v>17761.941798069824</v>
      </c>
      <c r="AK82" s="196">
        <f t="shared" si="96"/>
        <v>17970.241832320724</v>
      </c>
      <c r="AL82" s="196">
        <f t="shared" si="96"/>
        <v>18142.056740378492</v>
      </c>
      <c r="AM82" s="196">
        <f t="shared" si="96"/>
        <v>18279.690433795924</v>
      </c>
      <c r="AN82" s="196">
        <f t="shared" si="96"/>
        <v>18385.330064713919</v>
      </c>
      <c r="AO82" s="196">
        <f t="shared" si="96"/>
        <v>18461.051383048194</v>
      </c>
      <c r="AP82" s="196">
        <f t="shared" si="96"/>
        <v>18508.823861481251</v>
      </c>
      <c r="AQ82" s="196">
        <f t="shared" si="96"/>
        <v>18530.51559795834</v>
      </c>
      <c r="AR82" s="196">
        <f t="shared" si="96"/>
        <v>18527.89800499169</v>
      </c>
      <c r="AS82" s="196">
        <f t="shared" si="96"/>
        <v>18502.650294698036</v>
      </c>
    </row>
    <row r="83" spans="1:45">
      <c r="B83" s="151" t="s">
        <v>212</v>
      </c>
      <c r="C83" s="180">
        <f>NPV(C52,F79:AS79) - C60</f>
        <v>831811.0802462569</v>
      </c>
      <c r="D83" t="s">
        <v>397</v>
      </c>
    </row>
    <row r="84" spans="1:45">
      <c r="B84" s="151" t="s">
        <v>381</v>
      </c>
      <c r="C84" s="180">
        <f>SUM(F81:AS81)</f>
        <v>334727.44076575554</v>
      </c>
      <c r="G84" s="104"/>
    </row>
    <row r="85" spans="1:45">
      <c r="B85" s="151" t="s">
        <v>382</v>
      </c>
      <c r="C85" s="180">
        <f>SUM(F82:AS82)</f>
        <v>536673.07948050112</v>
      </c>
    </row>
    <row r="87" spans="1:45">
      <c r="A87" s="152" t="s">
        <v>388</v>
      </c>
      <c r="B87" s="172" t="s">
        <v>386</v>
      </c>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c r="AA87" s="114"/>
      <c r="AB87" s="114"/>
      <c r="AC87" s="114"/>
      <c r="AD87" s="114"/>
      <c r="AE87" s="114"/>
      <c r="AF87" s="114"/>
      <c r="AG87" s="114"/>
      <c r="AH87" s="114"/>
      <c r="AI87" s="114"/>
      <c r="AJ87" s="114"/>
      <c r="AK87" s="114"/>
      <c r="AL87" s="114"/>
      <c r="AM87" s="114"/>
      <c r="AN87" s="114"/>
      <c r="AO87" s="114"/>
      <c r="AP87" s="114"/>
      <c r="AQ87" s="114"/>
      <c r="AR87" s="114"/>
      <c r="AS87" s="114"/>
    </row>
    <row r="88" spans="1:45">
      <c r="A88" s="152" t="s">
        <v>389</v>
      </c>
      <c r="B88" s="172" t="s">
        <v>356</v>
      </c>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c r="AA88" s="114"/>
      <c r="AB88" s="114"/>
      <c r="AC88" s="114"/>
      <c r="AD88" s="114"/>
      <c r="AE88" s="114"/>
      <c r="AF88" s="114"/>
      <c r="AG88" s="114"/>
      <c r="AH88" s="114"/>
      <c r="AI88" s="114"/>
      <c r="AJ88" s="114"/>
      <c r="AK88" s="114"/>
      <c r="AL88" s="114"/>
      <c r="AM88" s="114"/>
      <c r="AN88" s="114"/>
      <c r="AO88" s="114"/>
      <c r="AP88" s="114"/>
      <c r="AQ88" s="114"/>
      <c r="AR88" s="114"/>
      <c r="AS88" s="114"/>
    </row>
    <row r="89" spans="1:45">
      <c r="A89" s="152" t="s">
        <v>390</v>
      </c>
      <c r="B89" s="172" t="s">
        <v>357</v>
      </c>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c r="AA89" s="114"/>
      <c r="AB89" s="114"/>
      <c r="AC89" s="114"/>
      <c r="AD89" s="114"/>
      <c r="AE89" s="114"/>
      <c r="AF89" s="114"/>
      <c r="AG89" s="114"/>
      <c r="AH89" s="114"/>
      <c r="AI89" s="114"/>
      <c r="AJ89" s="114"/>
      <c r="AK89" s="114"/>
      <c r="AL89" s="114"/>
      <c r="AM89" s="114"/>
      <c r="AN89" s="114"/>
      <c r="AO89" s="114"/>
      <c r="AP89" s="114"/>
      <c r="AQ89" s="114"/>
      <c r="AR89" s="114"/>
      <c r="AS89" s="114"/>
    </row>
    <row r="90" spans="1:45">
      <c r="B90" s="171" t="s">
        <v>353</v>
      </c>
      <c r="C90" s="170">
        <v>0.14000000000000001</v>
      </c>
    </row>
    <row r="91" spans="1:45">
      <c r="B91" s="172" t="s">
        <v>387</v>
      </c>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c r="AA91" s="114"/>
      <c r="AB91" s="114"/>
      <c r="AC91" s="114"/>
      <c r="AD91" s="114"/>
      <c r="AE91" s="114"/>
      <c r="AF91" s="114"/>
      <c r="AG91" s="114"/>
      <c r="AH91" s="114"/>
      <c r="AI91" s="114"/>
      <c r="AJ91" s="114"/>
      <c r="AK91" s="114"/>
      <c r="AL91" s="114"/>
      <c r="AM91" s="114"/>
      <c r="AN91" s="114"/>
      <c r="AO91" s="114"/>
      <c r="AP91" s="114"/>
      <c r="AQ91" s="114"/>
      <c r="AR91" s="114"/>
      <c r="AS91" s="114"/>
    </row>
    <row r="92" spans="1:45">
      <c r="B92" s="182" t="s">
        <v>367</v>
      </c>
      <c r="C92" s="43">
        <v>80000</v>
      </c>
    </row>
    <row r="93" spans="1:45">
      <c r="B93" s="182" t="s">
        <v>368</v>
      </c>
      <c r="C93" s="43">
        <f>3*20000</f>
        <v>60000</v>
      </c>
    </row>
    <row r="94" spans="1:45">
      <c r="B94" s="182" t="s">
        <v>369</v>
      </c>
      <c r="C94" s="43">
        <f>3*15000</f>
        <v>45000</v>
      </c>
    </row>
    <row r="95" spans="1:45">
      <c r="B95" s="182" t="s">
        <v>370</v>
      </c>
      <c r="C95" s="43">
        <f>6000*12*3</f>
        <v>216000</v>
      </c>
    </row>
    <row r="96" spans="1:45">
      <c r="B96" s="182" t="s">
        <v>371</v>
      </c>
      <c r="C96" s="43">
        <f>5000*12*3</f>
        <v>180000</v>
      </c>
    </row>
    <row r="97" spans="1:45">
      <c r="B97" s="183" t="s">
        <v>372</v>
      </c>
      <c r="C97" s="179">
        <f>SUM(C92:C96)</f>
        <v>581000</v>
      </c>
    </row>
    <row r="98" spans="1:45">
      <c r="B98" s="182" t="s">
        <v>373</v>
      </c>
      <c r="C98" s="142">
        <f>F24</f>
        <v>39589.440000000002</v>
      </c>
    </row>
    <row r="99" spans="1:45">
      <c r="B99" s="184" t="s">
        <v>374</v>
      </c>
      <c r="C99" s="150">
        <f>C97-C98</f>
        <v>541410.56000000006</v>
      </c>
      <c r="F99" s="173" t="s">
        <v>377</v>
      </c>
      <c r="G99" s="173"/>
    </row>
    <row r="100" spans="1:45">
      <c r="C100" s="170"/>
      <c r="D100" s="154"/>
      <c r="E100" s="154"/>
      <c r="F100" s="174" t="s">
        <v>361</v>
      </c>
      <c r="G100" s="154"/>
      <c r="H100" s="186"/>
    </row>
    <row r="101" spans="1:45">
      <c r="B101" s="168" t="s">
        <v>352</v>
      </c>
      <c r="C101" s="173" t="s">
        <v>360</v>
      </c>
      <c r="D101" s="173"/>
      <c r="E101" s="173"/>
      <c r="F101" s="79">
        <v>1</v>
      </c>
      <c r="G101">
        <v>2</v>
      </c>
      <c r="H101" s="188">
        <v>3</v>
      </c>
      <c r="I101" s="171">
        <v>4</v>
      </c>
      <c r="J101" s="171">
        <v>5</v>
      </c>
      <c r="K101" s="171">
        <v>6</v>
      </c>
      <c r="L101" s="171">
        <v>7</v>
      </c>
      <c r="M101" s="171">
        <v>8</v>
      </c>
      <c r="N101" s="171">
        <v>9</v>
      </c>
      <c r="O101" s="171">
        <v>10</v>
      </c>
      <c r="P101" s="171">
        <v>11</v>
      </c>
      <c r="Q101" s="171">
        <v>12</v>
      </c>
      <c r="R101" s="171">
        <v>13</v>
      </c>
      <c r="S101" s="171">
        <v>14</v>
      </c>
      <c r="T101" s="171">
        <v>15</v>
      </c>
      <c r="U101" s="171">
        <v>16</v>
      </c>
      <c r="V101" s="171">
        <v>17</v>
      </c>
      <c r="W101" s="171">
        <v>18</v>
      </c>
      <c r="X101" s="171">
        <v>19</v>
      </c>
      <c r="Y101" s="171">
        <v>20</v>
      </c>
      <c r="Z101" s="171">
        <v>21</v>
      </c>
      <c r="AA101" s="171">
        <v>22</v>
      </c>
      <c r="AB101" s="171">
        <v>23</v>
      </c>
      <c r="AC101" s="171">
        <v>24</v>
      </c>
      <c r="AD101" s="171">
        <v>25</v>
      </c>
      <c r="AE101" s="171">
        <v>26</v>
      </c>
      <c r="AF101" s="171">
        <v>27</v>
      </c>
      <c r="AG101" s="171">
        <v>28</v>
      </c>
      <c r="AH101" s="171">
        <v>29</v>
      </c>
      <c r="AI101" s="171">
        <v>30</v>
      </c>
      <c r="AJ101" s="171">
        <v>31</v>
      </c>
      <c r="AK101" s="171">
        <v>32</v>
      </c>
      <c r="AL101" s="171">
        <v>33</v>
      </c>
      <c r="AM101" s="171">
        <v>34</v>
      </c>
      <c r="AN101" s="171">
        <v>35</v>
      </c>
      <c r="AO101" s="171">
        <v>36</v>
      </c>
      <c r="AP101" s="171">
        <v>37</v>
      </c>
      <c r="AQ101" s="171">
        <v>38</v>
      </c>
      <c r="AR101" s="171">
        <v>39</v>
      </c>
      <c r="AS101" s="171">
        <v>40</v>
      </c>
    </row>
    <row r="102" spans="1:45">
      <c r="B102" s="161" t="s">
        <v>86</v>
      </c>
      <c r="C102" s="162">
        <v>2017</v>
      </c>
      <c r="D102" s="162">
        <v>2018</v>
      </c>
      <c r="E102" s="162">
        <v>2019</v>
      </c>
      <c r="F102" s="175">
        <v>2020</v>
      </c>
      <c r="G102" s="162">
        <v>2021</v>
      </c>
      <c r="H102" s="205">
        <v>2022</v>
      </c>
      <c r="I102" s="162">
        <v>2023</v>
      </c>
      <c r="J102" s="162">
        <v>2024</v>
      </c>
      <c r="K102" s="162">
        <v>2025</v>
      </c>
      <c r="L102" s="162">
        <v>2026</v>
      </c>
      <c r="M102" s="162">
        <v>2027</v>
      </c>
      <c r="N102" s="162">
        <v>2028</v>
      </c>
      <c r="O102" s="162">
        <v>2029</v>
      </c>
      <c r="P102" s="162">
        <v>2030</v>
      </c>
      <c r="Q102" s="162">
        <v>2031</v>
      </c>
      <c r="R102" s="162">
        <v>2032</v>
      </c>
      <c r="S102" s="162">
        <v>2033</v>
      </c>
      <c r="T102" s="162">
        <v>2034</v>
      </c>
      <c r="U102" s="162">
        <v>2035</v>
      </c>
      <c r="V102" s="162">
        <v>2036</v>
      </c>
      <c r="W102" s="162">
        <v>2037</v>
      </c>
      <c r="X102" s="162">
        <v>2038</v>
      </c>
      <c r="Y102" s="162">
        <v>2039</v>
      </c>
      <c r="Z102" s="162">
        <v>2040</v>
      </c>
      <c r="AA102" s="162">
        <v>2041</v>
      </c>
      <c r="AB102" s="162">
        <v>2042</v>
      </c>
      <c r="AC102" s="162">
        <v>2043</v>
      </c>
      <c r="AD102" s="162">
        <v>2044</v>
      </c>
      <c r="AE102" s="162">
        <v>2045</v>
      </c>
      <c r="AF102" s="162">
        <v>2046</v>
      </c>
      <c r="AG102" s="162">
        <v>2047</v>
      </c>
      <c r="AH102" s="162">
        <v>2048</v>
      </c>
      <c r="AI102" s="162">
        <v>2049</v>
      </c>
      <c r="AJ102" s="162">
        <v>2050</v>
      </c>
      <c r="AK102" s="162">
        <v>2051</v>
      </c>
      <c r="AL102" s="162">
        <v>2052</v>
      </c>
      <c r="AM102" s="162">
        <v>2053</v>
      </c>
      <c r="AN102" s="162">
        <v>2054</v>
      </c>
      <c r="AO102" s="162">
        <v>2055</v>
      </c>
      <c r="AP102" s="162">
        <v>2056</v>
      </c>
      <c r="AQ102" s="162">
        <v>2057</v>
      </c>
      <c r="AR102" s="162">
        <v>2058</v>
      </c>
      <c r="AS102" s="162">
        <v>2059</v>
      </c>
    </row>
    <row r="103" spans="1:45">
      <c r="B103" s="181" t="s">
        <v>367</v>
      </c>
      <c r="C103" s="171"/>
      <c r="D103" s="171"/>
      <c r="E103" s="171"/>
      <c r="F103" s="174">
        <v>80000</v>
      </c>
      <c r="G103" s="171"/>
      <c r="H103" s="186"/>
      <c r="I103" s="171"/>
      <c r="J103" s="171"/>
      <c r="K103" s="171"/>
      <c r="L103" s="171"/>
      <c r="M103" s="171"/>
      <c r="N103" s="171"/>
      <c r="O103" s="171"/>
      <c r="P103" s="171"/>
      <c r="Q103" s="171"/>
      <c r="R103" s="171"/>
      <c r="S103" s="171"/>
      <c r="T103" s="171"/>
      <c r="U103" s="171"/>
      <c r="V103" s="171"/>
      <c r="W103" s="171"/>
      <c r="X103" s="171"/>
      <c r="Y103" s="171"/>
      <c r="Z103" s="171"/>
      <c r="AA103" s="171"/>
      <c r="AB103" s="171"/>
      <c r="AC103" s="171"/>
      <c r="AD103" s="171"/>
      <c r="AE103" s="171"/>
      <c r="AF103" s="171"/>
      <c r="AG103" s="171"/>
      <c r="AH103" s="171"/>
      <c r="AI103" s="171"/>
      <c r="AJ103" s="171"/>
      <c r="AK103" s="171"/>
      <c r="AL103" s="171"/>
      <c r="AM103" s="171"/>
      <c r="AN103" s="171"/>
      <c r="AO103" s="171"/>
      <c r="AP103" s="171"/>
      <c r="AQ103" s="171"/>
      <c r="AR103" s="171"/>
      <c r="AS103" s="171"/>
    </row>
    <row r="104" spans="1:45">
      <c r="B104" s="181" t="s">
        <v>368</v>
      </c>
      <c r="C104" s="171"/>
      <c r="D104" s="171"/>
      <c r="E104" s="171"/>
      <c r="F104" s="174">
        <v>20000</v>
      </c>
      <c r="G104" s="171">
        <v>20000</v>
      </c>
      <c r="H104" s="186">
        <v>20000</v>
      </c>
      <c r="I104" s="171"/>
      <c r="J104" s="171"/>
      <c r="K104" s="171"/>
      <c r="L104" s="171"/>
      <c r="M104" s="171"/>
      <c r="N104" s="171"/>
      <c r="O104" s="171"/>
      <c r="P104" s="171"/>
      <c r="Q104" s="171"/>
      <c r="R104" s="171"/>
      <c r="S104" s="171"/>
      <c r="T104" s="171"/>
      <c r="U104" s="171"/>
      <c r="V104" s="171"/>
      <c r="W104" s="171"/>
      <c r="X104" s="171"/>
      <c r="Y104" s="171"/>
      <c r="Z104" s="171"/>
      <c r="AA104" s="171"/>
      <c r="AB104" s="171"/>
      <c r="AC104" s="171"/>
      <c r="AD104" s="171"/>
      <c r="AE104" s="171"/>
      <c r="AF104" s="171"/>
      <c r="AG104" s="171"/>
      <c r="AH104" s="171"/>
      <c r="AI104" s="171"/>
      <c r="AJ104" s="171"/>
      <c r="AK104" s="171"/>
      <c r="AL104" s="171"/>
      <c r="AM104" s="171"/>
      <c r="AN104" s="171"/>
      <c r="AO104" s="171"/>
      <c r="AP104" s="171"/>
      <c r="AQ104" s="171"/>
      <c r="AR104" s="171"/>
      <c r="AS104" s="171"/>
    </row>
    <row r="105" spans="1:45">
      <c r="B105" s="181" t="s">
        <v>369</v>
      </c>
      <c r="C105" s="171"/>
      <c r="D105" s="171"/>
      <c r="E105" s="171"/>
      <c r="F105" s="174">
        <v>15000</v>
      </c>
      <c r="G105" s="171">
        <v>15000</v>
      </c>
      <c r="H105" s="186">
        <v>15000</v>
      </c>
      <c r="I105" s="171"/>
      <c r="J105" s="171"/>
      <c r="K105" s="171"/>
      <c r="L105" s="171"/>
      <c r="M105" s="171"/>
      <c r="N105" s="171"/>
      <c r="O105" s="171"/>
      <c r="P105" s="171"/>
      <c r="Q105" s="171"/>
      <c r="R105" s="171"/>
      <c r="S105" s="171"/>
      <c r="T105" s="171"/>
      <c r="U105" s="171"/>
      <c r="V105" s="171"/>
      <c r="W105" s="171"/>
      <c r="X105" s="171"/>
      <c r="Y105" s="171"/>
      <c r="Z105" s="171"/>
      <c r="AA105" s="171"/>
      <c r="AB105" s="171"/>
      <c r="AC105" s="171"/>
      <c r="AD105" s="171"/>
      <c r="AE105" s="171"/>
      <c r="AF105" s="171"/>
      <c r="AG105" s="171"/>
      <c r="AH105" s="171"/>
      <c r="AI105" s="171"/>
      <c r="AJ105" s="171"/>
      <c r="AK105" s="171"/>
      <c r="AL105" s="171"/>
      <c r="AM105" s="171"/>
      <c r="AN105" s="171"/>
      <c r="AO105" s="171"/>
      <c r="AP105" s="171"/>
      <c r="AQ105" s="171"/>
      <c r="AR105" s="171"/>
      <c r="AS105" s="171"/>
    </row>
    <row r="106" spans="1:45">
      <c r="B106" s="181" t="s">
        <v>370</v>
      </c>
      <c r="C106" s="171"/>
      <c r="D106" s="171"/>
      <c r="E106" s="171"/>
      <c r="F106" s="174">
        <f>6000*12</f>
        <v>72000</v>
      </c>
      <c r="G106" s="171">
        <f t="shared" ref="G106:H106" si="97">6000*12</f>
        <v>72000</v>
      </c>
      <c r="H106" s="186">
        <f t="shared" si="97"/>
        <v>72000</v>
      </c>
      <c r="I106" s="171"/>
      <c r="J106" s="171"/>
      <c r="K106" s="171"/>
      <c r="L106" s="171"/>
      <c r="M106" s="171"/>
      <c r="N106" s="171"/>
      <c r="O106" s="171"/>
      <c r="P106" s="171"/>
      <c r="Q106" s="171"/>
      <c r="R106" s="171"/>
      <c r="S106" s="171"/>
      <c r="T106" s="171"/>
      <c r="U106" s="171"/>
      <c r="V106" s="171"/>
      <c r="W106" s="171"/>
      <c r="X106" s="171"/>
      <c r="Y106" s="171"/>
      <c r="Z106" s="171"/>
      <c r="AA106" s="171"/>
      <c r="AB106" s="171"/>
      <c r="AC106" s="171"/>
      <c r="AD106" s="171"/>
      <c r="AE106" s="171"/>
      <c r="AF106" s="171"/>
      <c r="AG106" s="171"/>
      <c r="AH106" s="171"/>
      <c r="AI106" s="171"/>
      <c r="AJ106" s="171"/>
      <c r="AK106" s="171"/>
      <c r="AL106" s="171"/>
      <c r="AM106" s="171"/>
      <c r="AN106" s="171"/>
      <c r="AO106" s="171"/>
      <c r="AP106" s="171"/>
      <c r="AQ106" s="171"/>
      <c r="AR106" s="171"/>
      <c r="AS106" s="171"/>
    </row>
    <row r="107" spans="1:45">
      <c r="B107" s="181" t="s">
        <v>371</v>
      </c>
      <c r="C107" s="171"/>
      <c r="D107" s="171"/>
      <c r="E107" s="171"/>
      <c r="F107" s="174">
        <f>5000*12</f>
        <v>60000</v>
      </c>
      <c r="G107" s="171">
        <f>5000*12</f>
        <v>60000</v>
      </c>
      <c r="H107" s="186">
        <f>5000*12</f>
        <v>60000</v>
      </c>
      <c r="I107" s="171"/>
      <c r="J107" s="171"/>
      <c r="K107" s="171"/>
      <c r="L107" s="171"/>
      <c r="M107" s="171"/>
      <c r="N107" s="171"/>
      <c r="O107" s="171"/>
      <c r="P107" s="171"/>
      <c r="Q107" s="171"/>
      <c r="R107" s="171"/>
      <c r="S107" s="171"/>
      <c r="T107" s="171"/>
      <c r="U107" s="171"/>
      <c r="V107" s="171"/>
      <c r="W107" s="171"/>
      <c r="X107" s="171"/>
      <c r="Y107" s="171"/>
      <c r="Z107" s="171"/>
      <c r="AA107" s="171"/>
      <c r="AB107" s="171"/>
      <c r="AC107" s="171"/>
      <c r="AD107" s="171"/>
      <c r="AE107" s="171"/>
      <c r="AF107" s="171"/>
      <c r="AG107" s="171"/>
      <c r="AH107" s="171"/>
      <c r="AI107" s="171"/>
      <c r="AJ107" s="171"/>
      <c r="AK107" s="171"/>
      <c r="AL107" s="171"/>
      <c r="AM107" s="171"/>
      <c r="AN107" s="171"/>
      <c r="AO107" s="171"/>
      <c r="AP107" s="171"/>
      <c r="AQ107" s="171"/>
      <c r="AR107" s="171"/>
      <c r="AS107" s="171"/>
    </row>
    <row r="108" spans="1:45">
      <c r="A108" s="193"/>
      <c r="B108" s="192" t="s">
        <v>329</v>
      </c>
      <c r="C108" s="192">
        <v>144000</v>
      </c>
      <c r="D108" s="192">
        <v>156000</v>
      </c>
      <c r="E108" s="192">
        <v>168000</v>
      </c>
      <c r="F108" s="194" t="s">
        <v>376</v>
      </c>
      <c r="G108" s="192" t="s">
        <v>376</v>
      </c>
      <c r="H108" s="195"/>
      <c r="I108" s="104">
        <f>30000*12</f>
        <v>360000</v>
      </c>
      <c r="J108" s="104">
        <f>I108*112%</f>
        <v>403200.00000000006</v>
      </c>
      <c r="K108" s="104">
        <f t="shared" ref="K108:AR108" si="98">J108*112%</f>
        <v>451584.00000000012</v>
      </c>
      <c r="L108" s="104">
        <f t="shared" si="98"/>
        <v>505774.08000000019</v>
      </c>
      <c r="M108" s="104">
        <f t="shared" si="98"/>
        <v>566466.9696000003</v>
      </c>
      <c r="N108" s="104">
        <f t="shared" si="98"/>
        <v>634443.00595200039</v>
      </c>
      <c r="O108" s="104">
        <f t="shared" si="98"/>
        <v>710576.16666624055</v>
      </c>
      <c r="P108" s="104">
        <f t="shared" si="98"/>
        <v>795845.30666618946</v>
      </c>
      <c r="Q108" s="104">
        <f t="shared" si="98"/>
        <v>891346.74346613232</v>
      </c>
      <c r="R108" s="104">
        <f t="shared" si="98"/>
        <v>998308.35268206825</v>
      </c>
      <c r="S108" s="104">
        <f t="shared" si="98"/>
        <v>1118105.3550039164</v>
      </c>
      <c r="T108" s="104">
        <f t="shared" si="98"/>
        <v>1252277.9976043864</v>
      </c>
      <c r="U108" s="104">
        <f t="shared" si="98"/>
        <v>1402551.3573169129</v>
      </c>
      <c r="V108" s="104">
        <f t="shared" si="98"/>
        <v>1570857.5201949426</v>
      </c>
      <c r="W108" s="104">
        <f t="shared" si="98"/>
        <v>1759360.4226183358</v>
      </c>
      <c r="X108" s="104">
        <f t="shared" si="98"/>
        <v>1970483.6733325364</v>
      </c>
      <c r="Y108" s="104">
        <f t="shared" si="98"/>
        <v>2206941.7141324407</v>
      </c>
      <c r="Z108" s="104">
        <f t="shared" si="98"/>
        <v>2471774.7198283337</v>
      </c>
      <c r="AA108" s="104">
        <f t="shared" si="98"/>
        <v>2768387.686207734</v>
      </c>
      <c r="AB108" s="104">
        <f t="shared" si="98"/>
        <v>3100594.2085526623</v>
      </c>
      <c r="AC108" s="104">
        <f t="shared" si="98"/>
        <v>3472665.5135789821</v>
      </c>
      <c r="AD108" s="104">
        <f t="shared" si="98"/>
        <v>3889385.3752084603</v>
      </c>
      <c r="AE108" s="104">
        <f t="shared" si="98"/>
        <v>4356111.6202334762</v>
      </c>
      <c r="AF108" s="104">
        <f t="shared" si="98"/>
        <v>4878845.0146614937</v>
      </c>
      <c r="AG108" s="104">
        <f t="shared" si="98"/>
        <v>5464306.4164208733</v>
      </c>
      <c r="AH108" s="104">
        <f t="shared" si="98"/>
        <v>6120023.1863913788</v>
      </c>
      <c r="AI108" s="104">
        <f t="shared" si="98"/>
        <v>6854425.9687583447</v>
      </c>
      <c r="AJ108" s="104">
        <f t="shared" si="98"/>
        <v>7676957.0850093467</v>
      </c>
      <c r="AK108" s="104">
        <f t="shared" si="98"/>
        <v>8598191.9352104682</v>
      </c>
      <c r="AL108" s="104">
        <f t="shared" si="98"/>
        <v>9629974.967435725</v>
      </c>
      <c r="AM108" s="104">
        <f t="shared" si="98"/>
        <v>10785571.963528013</v>
      </c>
      <c r="AN108" s="104">
        <f t="shared" si="98"/>
        <v>12079840.599151375</v>
      </c>
      <c r="AO108" s="104">
        <f t="shared" si="98"/>
        <v>13529421.471049542</v>
      </c>
      <c r="AP108" s="104">
        <f t="shared" si="98"/>
        <v>15152952.047575489</v>
      </c>
      <c r="AQ108" s="104">
        <f t="shared" si="98"/>
        <v>16971306.29328455</v>
      </c>
      <c r="AR108" s="104">
        <f t="shared" si="98"/>
        <v>19007863.048478696</v>
      </c>
      <c r="AS108" s="104">
        <f>AR108*112%</f>
        <v>21288806.614296142</v>
      </c>
    </row>
    <row r="109" spans="1:45">
      <c r="A109" s="193"/>
      <c r="B109" s="192" t="s">
        <v>339</v>
      </c>
      <c r="C109" s="192">
        <v>28800</v>
      </c>
      <c r="D109" s="192">
        <v>31200</v>
      </c>
      <c r="E109" s="192">
        <v>33600</v>
      </c>
      <c r="F109" s="194" t="s">
        <v>376</v>
      </c>
      <c r="G109" s="192" t="s">
        <v>376</v>
      </c>
      <c r="H109" s="195"/>
      <c r="I109" s="192">
        <f>I108*20%</f>
        <v>72000</v>
      </c>
      <c r="J109" s="192">
        <f>J108*20%</f>
        <v>80640.000000000015</v>
      </c>
      <c r="K109" s="192">
        <f t="shared" ref="K109:AR109" si="99">K108*20%</f>
        <v>90316.800000000032</v>
      </c>
      <c r="L109" s="192">
        <f t="shared" si="99"/>
        <v>101154.81600000005</v>
      </c>
      <c r="M109" s="192">
        <f t="shared" si="99"/>
        <v>113293.39392000006</v>
      </c>
      <c r="N109" s="192">
        <f t="shared" si="99"/>
        <v>126888.60119040008</v>
      </c>
      <c r="O109" s="192">
        <f t="shared" si="99"/>
        <v>142115.23333324812</v>
      </c>
      <c r="P109" s="192">
        <f t="shared" si="99"/>
        <v>159169.06133323791</v>
      </c>
      <c r="Q109" s="192">
        <f t="shared" si="99"/>
        <v>178269.34869322646</v>
      </c>
      <c r="R109" s="192">
        <f t="shared" si="99"/>
        <v>199661.67053641367</v>
      </c>
      <c r="S109" s="192">
        <f t="shared" si="99"/>
        <v>223621.0710007833</v>
      </c>
      <c r="T109" s="192">
        <f t="shared" si="99"/>
        <v>250455.59952087729</v>
      </c>
      <c r="U109" s="192">
        <f t="shared" si="99"/>
        <v>280510.27146338258</v>
      </c>
      <c r="V109" s="192">
        <f t="shared" si="99"/>
        <v>314171.50403898855</v>
      </c>
      <c r="W109" s="192">
        <f t="shared" si="99"/>
        <v>351872.08452366717</v>
      </c>
      <c r="X109" s="192">
        <f t="shared" si="99"/>
        <v>394096.73466650728</v>
      </c>
      <c r="Y109" s="192">
        <f t="shared" si="99"/>
        <v>441388.34282648819</v>
      </c>
      <c r="Z109" s="192">
        <f t="shared" si="99"/>
        <v>494354.94396566675</v>
      </c>
      <c r="AA109" s="192">
        <f t="shared" si="99"/>
        <v>553677.53724154679</v>
      </c>
      <c r="AB109" s="192">
        <f t="shared" si="99"/>
        <v>620118.84171053243</v>
      </c>
      <c r="AC109" s="192">
        <f t="shared" si="99"/>
        <v>694533.10271579644</v>
      </c>
      <c r="AD109" s="192">
        <f t="shared" si="99"/>
        <v>777877.07504169212</v>
      </c>
      <c r="AE109" s="192">
        <f t="shared" si="99"/>
        <v>871222.32404669526</v>
      </c>
      <c r="AF109" s="192">
        <f t="shared" si="99"/>
        <v>975769.00293229881</v>
      </c>
      <c r="AG109" s="192">
        <f t="shared" si="99"/>
        <v>1092861.2832841747</v>
      </c>
      <c r="AH109" s="192">
        <f t="shared" si="99"/>
        <v>1224004.6372782758</v>
      </c>
      <c r="AI109" s="192">
        <f t="shared" si="99"/>
        <v>1370885.193751669</v>
      </c>
      <c r="AJ109" s="192">
        <f t="shared" si="99"/>
        <v>1535391.4170018695</v>
      </c>
      <c r="AK109" s="192">
        <f t="shared" si="99"/>
        <v>1719638.3870420938</v>
      </c>
      <c r="AL109" s="192">
        <f t="shared" si="99"/>
        <v>1925994.9934871451</v>
      </c>
      <c r="AM109" s="192">
        <f t="shared" si="99"/>
        <v>2157114.3927056026</v>
      </c>
      <c r="AN109" s="192">
        <f t="shared" si="99"/>
        <v>2415968.119830275</v>
      </c>
      <c r="AO109" s="192">
        <f t="shared" si="99"/>
        <v>2705884.2942099087</v>
      </c>
      <c r="AP109" s="192">
        <f t="shared" si="99"/>
        <v>3030590.4095150977</v>
      </c>
      <c r="AQ109" s="192">
        <f t="shared" si="99"/>
        <v>3394261.2586569102</v>
      </c>
      <c r="AR109" s="192">
        <f t="shared" si="99"/>
        <v>3801572.6096957396</v>
      </c>
      <c r="AS109" s="192">
        <f>AS108*20%</f>
        <v>4257761.3228592286</v>
      </c>
    </row>
    <row r="110" spans="1:45">
      <c r="A110" s="193"/>
      <c r="B110" s="192" t="s">
        <v>145</v>
      </c>
      <c r="C110" s="192">
        <v>172800</v>
      </c>
      <c r="D110" s="192">
        <v>187200</v>
      </c>
      <c r="E110" s="192">
        <v>201600</v>
      </c>
      <c r="F110" s="194" t="s">
        <v>376</v>
      </c>
      <c r="G110" s="192" t="s">
        <v>376</v>
      </c>
      <c r="H110" s="195"/>
      <c r="I110" s="192">
        <f>I108+I109</f>
        <v>432000</v>
      </c>
      <c r="J110" s="192">
        <f>J108+J109</f>
        <v>483840.00000000006</v>
      </c>
      <c r="K110" s="192">
        <f t="shared" ref="K110:AR110" si="100">K108+K109</f>
        <v>541900.80000000016</v>
      </c>
      <c r="L110" s="192">
        <f t="shared" si="100"/>
        <v>606928.89600000018</v>
      </c>
      <c r="M110" s="192">
        <f t="shared" si="100"/>
        <v>679760.36352000036</v>
      </c>
      <c r="N110" s="192">
        <f t="shared" si="100"/>
        <v>761331.60714240046</v>
      </c>
      <c r="O110" s="192">
        <f t="shared" si="100"/>
        <v>852691.39999948861</v>
      </c>
      <c r="P110" s="192">
        <f t="shared" si="100"/>
        <v>955014.36799942737</v>
      </c>
      <c r="Q110" s="192">
        <f t="shared" si="100"/>
        <v>1069616.0921593588</v>
      </c>
      <c r="R110" s="192">
        <f t="shared" si="100"/>
        <v>1197970.0232184818</v>
      </c>
      <c r="S110" s="192">
        <f t="shared" si="100"/>
        <v>1341726.4260046997</v>
      </c>
      <c r="T110" s="192">
        <f t="shared" si="100"/>
        <v>1502733.5971252637</v>
      </c>
      <c r="U110" s="192">
        <f t="shared" si="100"/>
        <v>1683061.6287802954</v>
      </c>
      <c r="V110" s="192">
        <f t="shared" si="100"/>
        <v>1885029.0242339312</v>
      </c>
      <c r="W110" s="192">
        <f t="shared" si="100"/>
        <v>2111232.5071420032</v>
      </c>
      <c r="X110" s="192">
        <f t="shared" si="100"/>
        <v>2364580.4079990438</v>
      </c>
      <c r="Y110" s="192">
        <f t="shared" si="100"/>
        <v>2648330.0569589287</v>
      </c>
      <c r="Z110" s="192">
        <f t="shared" si="100"/>
        <v>2966129.6637940006</v>
      </c>
      <c r="AA110" s="192">
        <f t="shared" si="100"/>
        <v>3322065.223449281</v>
      </c>
      <c r="AB110" s="192">
        <f t="shared" si="100"/>
        <v>3720713.0502631948</v>
      </c>
      <c r="AC110" s="192">
        <f t="shared" si="100"/>
        <v>4167198.6162947784</v>
      </c>
      <c r="AD110" s="192">
        <f t="shared" si="100"/>
        <v>4667262.4502501525</v>
      </c>
      <c r="AE110" s="192">
        <f t="shared" si="100"/>
        <v>5227333.9442801718</v>
      </c>
      <c r="AF110" s="192">
        <f t="shared" si="100"/>
        <v>5854614.0175937926</v>
      </c>
      <c r="AG110" s="192">
        <f t="shared" si="100"/>
        <v>6557167.6997050475</v>
      </c>
      <c r="AH110" s="192">
        <f t="shared" si="100"/>
        <v>7344027.8236696543</v>
      </c>
      <c r="AI110" s="192">
        <f t="shared" si="100"/>
        <v>8225311.1625100132</v>
      </c>
      <c r="AJ110" s="192">
        <f t="shared" si="100"/>
        <v>9212348.5020112172</v>
      </c>
      <c r="AK110" s="192">
        <f t="shared" si="100"/>
        <v>10317830.322252562</v>
      </c>
      <c r="AL110" s="192">
        <f t="shared" si="100"/>
        <v>11555969.960922871</v>
      </c>
      <c r="AM110" s="192">
        <f t="shared" si="100"/>
        <v>12942686.356233615</v>
      </c>
      <c r="AN110" s="192">
        <f t="shared" si="100"/>
        <v>14495808.71898165</v>
      </c>
      <c r="AO110" s="192">
        <f t="shared" si="100"/>
        <v>16235305.76525945</v>
      </c>
      <c r="AP110" s="192">
        <f t="shared" si="100"/>
        <v>18183542.457090586</v>
      </c>
      <c r="AQ110" s="192">
        <f t="shared" si="100"/>
        <v>20365567.551941462</v>
      </c>
      <c r="AR110" s="192">
        <f t="shared" si="100"/>
        <v>22809435.658174437</v>
      </c>
      <c r="AS110" s="192">
        <f>AS108+AS109</f>
        <v>25546567.93715537</v>
      </c>
    </row>
    <row r="111" spans="1:45">
      <c r="A111" s="193"/>
      <c r="B111" s="192" t="s">
        <v>138</v>
      </c>
      <c r="C111" s="192">
        <v>33696</v>
      </c>
      <c r="D111" s="192">
        <v>36504</v>
      </c>
      <c r="E111" s="192">
        <v>39312</v>
      </c>
      <c r="F111" s="194" t="s">
        <v>376</v>
      </c>
      <c r="G111" s="192" t="s">
        <v>376</v>
      </c>
      <c r="H111" s="195"/>
      <c r="I111" s="192">
        <f>I110*19.5%</f>
        <v>84240</v>
      </c>
      <c r="J111" s="192">
        <f>J110*19.5%</f>
        <v>94348.800000000017</v>
      </c>
      <c r="K111" s="192">
        <f t="shared" ref="K111" si="101">K110*19.5%</f>
        <v>105670.65600000003</v>
      </c>
      <c r="L111" s="192">
        <f t="shared" ref="L111" si="102">L110*19.5%</f>
        <v>118351.13472000005</v>
      </c>
      <c r="M111" s="192">
        <f t="shared" ref="M111" si="103">M110*19.5%</f>
        <v>132553.27088640007</v>
      </c>
      <c r="N111" s="192">
        <f t="shared" ref="N111" si="104">N110*19.5%</f>
        <v>148459.6633927681</v>
      </c>
      <c r="O111" s="192">
        <f t="shared" ref="O111" si="105">O110*19.5%</f>
        <v>166274.82299990029</v>
      </c>
      <c r="P111" s="192">
        <f t="shared" ref="P111" si="106">P110*19.5%</f>
        <v>186227.80175988833</v>
      </c>
      <c r="Q111" s="192">
        <f t="shared" ref="Q111" si="107">Q110*19.5%</f>
        <v>208575.13797107496</v>
      </c>
      <c r="R111" s="192">
        <f t="shared" ref="R111" si="108">R110*19.5%</f>
        <v>233604.15452760397</v>
      </c>
      <c r="S111" s="192">
        <f t="shared" ref="S111" si="109">S110*19.5%</f>
        <v>261636.65307091645</v>
      </c>
      <c r="T111" s="192">
        <f t="shared" ref="T111" si="110">T110*19.5%</f>
        <v>293033.05143942643</v>
      </c>
      <c r="U111" s="192">
        <f t="shared" ref="U111" si="111">U110*19.5%</f>
        <v>328197.01761215762</v>
      </c>
      <c r="V111" s="192">
        <f t="shared" ref="V111" si="112">V110*19.5%</f>
        <v>367580.65972561657</v>
      </c>
      <c r="W111" s="192">
        <f t="shared" ref="W111" si="113">W110*19.5%</f>
        <v>411690.3388926906</v>
      </c>
      <c r="X111" s="192">
        <f t="shared" ref="X111" si="114">X110*19.5%</f>
        <v>461093.17955981358</v>
      </c>
      <c r="Y111" s="192">
        <f t="shared" ref="Y111" si="115">Y110*19.5%</f>
        <v>516424.36110699113</v>
      </c>
      <c r="Z111" s="192">
        <f>Z110*19.5%</f>
        <v>578395.28443983011</v>
      </c>
      <c r="AA111" s="192">
        <f t="shared" ref="AA111" si="116">AA110*19.5%</f>
        <v>647802.71857260983</v>
      </c>
      <c r="AB111" s="192">
        <f t="shared" ref="AB111" si="117">AB110*19.5%</f>
        <v>725539.04480132298</v>
      </c>
      <c r="AC111" s="192">
        <f t="shared" ref="AC111" si="118">AC110*19.5%</f>
        <v>812603.73017748178</v>
      </c>
      <c r="AD111" s="192">
        <f t="shared" ref="AD111" si="119">AD110*19.5%</f>
        <v>910116.1777987798</v>
      </c>
      <c r="AE111" s="192">
        <f t="shared" ref="AE111" si="120">AE110*19.5%</f>
        <v>1019330.1191346336</v>
      </c>
      <c r="AF111" s="192">
        <f t="shared" ref="AF111" si="121">AF110*19.5%</f>
        <v>1141649.7334307896</v>
      </c>
      <c r="AG111" s="192">
        <f t="shared" ref="AG111" si="122">AG110*19.5%</f>
        <v>1278647.7014424843</v>
      </c>
      <c r="AH111" s="192">
        <f t="shared" ref="AH111" si="123">AH110*19.5%</f>
        <v>1432085.4256155826</v>
      </c>
      <c r="AI111" s="192">
        <f t="shared" ref="AI111" si="124">AI110*19.5%</f>
        <v>1603935.6766894527</v>
      </c>
      <c r="AJ111" s="192">
        <f t="shared" ref="AJ111" si="125">AJ110*19.5%</f>
        <v>1796407.9578921874</v>
      </c>
      <c r="AK111" s="192">
        <f t="shared" ref="AK111" si="126">AK110*19.5%</f>
        <v>2011976.9128392497</v>
      </c>
      <c r="AL111" s="192">
        <f t="shared" ref="AL111" si="127">AL110*19.5%</f>
        <v>2253414.14237996</v>
      </c>
      <c r="AM111" s="192">
        <f t="shared" ref="AM111" si="128">AM110*19.5%</f>
        <v>2523823.8394655553</v>
      </c>
      <c r="AN111" s="192">
        <f t="shared" ref="AN111" si="129">AN110*19.5%</f>
        <v>2826682.700201422</v>
      </c>
      <c r="AO111" s="192">
        <f>AO110*19.5%</f>
        <v>3165884.6242255927</v>
      </c>
      <c r="AP111" s="192">
        <f t="shared" ref="AP111" si="130">AP110*19.5%</f>
        <v>3545790.7791326647</v>
      </c>
      <c r="AQ111" s="192">
        <f t="shared" ref="AQ111" si="131">AQ110*19.5%</f>
        <v>3971285.6726285852</v>
      </c>
      <c r="AR111" s="192">
        <f t="shared" ref="AR111" si="132">AR110*19.5%</f>
        <v>4447839.9533440154</v>
      </c>
      <c r="AS111" s="192">
        <f t="shared" ref="AS111" si="133">AS110*19.5%</f>
        <v>4981580.7477452969</v>
      </c>
    </row>
    <row r="112" spans="1:45">
      <c r="A112" s="193"/>
      <c r="B112" s="192" t="s">
        <v>340</v>
      </c>
      <c r="C112" s="192">
        <v>138000</v>
      </c>
      <c r="D112" s="192">
        <v>138000</v>
      </c>
      <c r="E112" s="192">
        <v>138000</v>
      </c>
      <c r="F112" s="194" t="s">
        <v>376</v>
      </c>
      <c r="G112" s="192" t="s">
        <v>376</v>
      </c>
      <c r="H112" s="195"/>
      <c r="I112" s="192">
        <f>I108*$G9</f>
        <v>276000</v>
      </c>
      <c r="J112" s="192">
        <f>J108*$G9</f>
        <v>309120</v>
      </c>
      <c r="K112" s="192">
        <f t="shared" ref="K112:AS112" si="134">K108*$G9</f>
        <v>346214.40000000008</v>
      </c>
      <c r="L112" s="192">
        <f t="shared" si="134"/>
        <v>387760.12800000014</v>
      </c>
      <c r="M112" s="192">
        <f t="shared" si="134"/>
        <v>434291.34336000017</v>
      </c>
      <c r="N112" s="192">
        <f t="shared" si="134"/>
        <v>486406.30456320028</v>
      </c>
      <c r="O112" s="192">
        <f t="shared" si="134"/>
        <v>544775.06111078442</v>
      </c>
      <c r="P112" s="192">
        <f t="shared" si="134"/>
        <v>610148.06844407856</v>
      </c>
      <c r="Q112" s="192">
        <f t="shared" si="134"/>
        <v>683365.83665736811</v>
      </c>
      <c r="R112" s="192">
        <f t="shared" si="134"/>
        <v>765369.73705625231</v>
      </c>
      <c r="S112" s="192">
        <f t="shared" si="134"/>
        <v>857214.10550300253</v>
      </c>
      <c r="T112" s="192">
        <f t="shared" si="134"/>
        <v>960079.7981633629</v>
      </c>
      <c r="U112" s="192">
        <f t="shared" si="134"/>
        <v>1075289.3739429663</v>
      </c>
      <c r="V112" s="192">
        <f t="shared" si="134"/>
        <v>1204324.0988161226</v>
      </c>
      <c r="W112" s="192">
        <f t="shared" si="134"/>
        <v>1348842.9906740573</v>
      </c>
      <c r="X112" s="192">
        <f t="shared" si="134"/>
        <v>1510704.1495549444</v>
      </c>
      <c r="Y112" s="192">
        <f t="shared" si="134"/>
        <v>1691988.6475015378</v>
      </c>
      <c r="Z112" s="192">
        <f t="shared" si="134"/>
        <v>1895027.2852017223</v>
      </c>
      <c r="AA112" s="192">
        <f t="shared" si="134"/>
        <v>2122430.5594259291</v>
      </c>
      <c r="AB112" s="192">
        <f t="shared" si="134"/>
        <v>2377122.2265570411</v>
      </c>
      <c r="AC112" s="192">
        <f t="shared" si="134"/>
        <v>2662376.8937438861</v>
      </c>
      <c r="AD112" s="192">
        <f t="shared" si="134"/>
        <v>2981862.1209931527</v>
      </c>
      <c r="AE112" s="192">
        <f t="shared" si="134"/>
        <v>3339685.5755123314</v>
      </c>
      <c r="AF112" s="192">
        <f t="shared" si="134"/>
        <v>3740447.8445738116</v>
      </c>
      <c r="AG112" s="192">
        <f t="shared" si="134"/>
        <v>4189301.5859226692</v>
      </c>
      <c r="AH112" s="192">
        <f t="shared" si="134"/>
        <v>4692017.77623339</v>
      </c>
      <c r="AI112" s="192">
        <f t="shared" si="134"/>
        <v>5255059.9093813971</v>
      </c>
      <c r="AJ112" s="192">
        <f t="shared" si="134"/>
        <v>5885667.098507165</v>
      </c>
      <c r="AK112" s="192">
        <f t="shared" si="134"/>
        <v>6591947.1503280252</v>
      </c>
      <c r="AL112" s="192">
        <f t="shared" si="134"/>
        <v>7382980.8083673883</v>
      </c>
      <c r="AM112" s="192">
        <f t="shared" si="134"/>
        <v>8268938.5053714756</v>
      </c>
      <c r="AN112" s="192">
        <f t="shared" si="134"/>
        <v>9261211.1260160524</v>
      </c>
      <c r="AO112" s="192">
        <f t="shared" si="134"/>
        <v>10372556.46113798</v>
      </c>
      <c r="AP112" s="192">
        <f t="shared" si="134"/>
        <v>11617263.23647454</v>
      </c>
      <c r="AQ112" s="192">
        <f t="shared" si="134"/>
        <v>13011334.824851487</v>
      </c>
      <c r="AR112" s="192">
        <f t="shared" si="134"/>
        <v>14572695.003833666</v>
      </c>
      <c r="AS112" s="192">
        <f t="shared" si="134"/>
        <v>16321418.404293709</v>
      </c>
    </row>
    <row r="113" spans="1:45">
      <c r="B113" s="160" t="s">
        <v>379</v>
      </c>
      <c r="C113" s="160">
        <f>C110-C111-C112</f>
        <v>1104</v>
      </c>
      <c r="D113" s="160">
        <f>D110-D111-D112</f>
        <v>12696</v>
      </c>
      <c r="E113" s="160">
        <f>E110-E111-E112</f>
        <v>24288</v>
      </c>
      <c r="F113" s="190">
        <f>-1*SUM(F103:F107)</f>
        <v>-247000</v>
      </c>
      <c r="G113" s="187">
        <f>-1*SUM(G103:G107)</f>
        <v>-167000</v>
      </c>
      <c r="H113" s="197">
        <f>-SUM(H104:H107)</f>
        <v>-167000</v>
      </c>
      <c r="I113" s="196">
        <f>I110-I111-I112</f>
        <v>71760</v>
      </c>
      <c r="J113" s="196">
        <f>J110-J111-J112</f>
        <v>80371.20000000007</v>
      </c>
      <c r="K113" s="196">
        <f t="shared" ref="K113" si="135">K110-K111-K112</f>
        <v>90015.744000000064</v>
      </c>
      <c r="L113" s="196">
        <f t="shared" ref="L113" si="136">L110-L111-L112</f>
        <v>100817.63328000001</v>
      </c>
      <c r="M113" s="196">
        <f t="shared" ref="M113" si="137">M110-M111-M112</f>
        <v>112915.74927360017</v>
      </c>
      <c r="N113" s="196">
        <f t="shared" ref="N113" si="138">N110-N111-N112</f>
        <v>126465.63918643206</v>
      </c>
      <c r="O113" s="196">
        <f t="shared" ref="O113" si="139">O110-O111-O112</f>
        <v>141641.51588880387</v>
      </c>
      <c r="P113" s="196">
        <f t="shared" ref="P113" si="140">P110-P111-P112</f>
        <v>158638.49779546051</v>
      </c>
      <c r="Q113" s="196">
        <f t="shared" ref="Q113" si="141">Q110-Q111-Q112</f>
        <v>177675.11753091565</v>
      </c>
      <c r="R113" s="196">
        <f t="shared" ref="R113" si="142">R110-R111-R112</f>
        <v>198996.13163462549</v>
      </c>
      <c r="S113" s="196">
        <f t="shared" ref="S113" si="143">S110-S111-S112</f>
        <v>222875.66743078071</v>
      </c>
      <c r="T113" s="196">
        <f t="shared" ref="T113" si="144">T110-T111-T112</f>
        <v>249620.74752247438</v>
      </c>
      <c r="U113" s="196">
        <f t="shared" ref="U113" si="145">U110-U111-U112</f>
        <v>279575.23722517141</v>
      </c>
      <c r="V113" s="196">
        <f t="shared" ref="V113" si="146">V110-V111-V112</f>
        <v>313124.2656921919</v>
      </c>
      <c r="W113" s="196">
        <f t="shared" ref="W113" si="147">W110-W111-W112</f>
        <v>350699.17757525528</v>
      </c>
      <c r="X113" s="196">
        <f t="shared" ref="X113" si="148">X110-X111-X112</f>
        <v>392783.07888428587</v>
      </c>
      <c r="Y113" s="196">
        <f>Y110-Y111-Y112</f>
        <v>439917.04835039959</v>
      </c>
      <c r="Z113" s="196">
        <f t="shared" ref="Z113" si="149">Z110-Z111-Z112</f>
        <v>492707.09415244823</v>
      </c>
      <c r="AA113" s="196">
        <f t="shared" ref="AA113" si="150">AA110-AA111-AA112</f>
        <v>551831.94545074226</v>
      </c>
      <c r="AB113" s="196">
        <f t="shared" ref="AB113" si="151">AB110-AB111-AB112</f>
        <v>618051.77890483057</v>
      </c>
      <c r="AC113" s="196">
        <f t="shared" ref="AC113" si="152">AC110-AC111-AC112</f>
        <v>692217.99237341061</v>
      </c>
      <c r="AD113" s="196">
        <f t="shared" ref="AD113" si="153">AD110-AD111-AD112</f>
        <v>775284.15145822009</v>
      </c>
      <c r="AE113" s="196">
        <f t="shared" ref="AE113" si="154">AE110-AE111-AE112</f>
        <v>868318.24963320652</v>
      </c>
      <c r="AF113" s="196">
        <f t="shared" ref="AF113" si="155">AF110-AF111-AF112</f>
        <v>972516.43958919123</v>
      </c>
      <c r="AG113" s="196">
        <f t="shared" ref="AG113" si="156">AG110-AG111-AG112</f>
        <v>1089218.4123398946</v>
      </c>
      <c r="AH113" s="196">
        <f t="shared" ref="AH113" si="157">AH110-AH111-AH112</f>
        <v>1219924.6218206817</v>
      </c>
      <c r="AI113" s="196">
        <f t="shared" ref="AI113" si="158">AI110-AI111-AI112</f>
        <v>1366315.5764391636</v>
      </c>
      <c r="AJ113" s="196">
        <f t="shared" ref="AJ113" si="159">AJ110-AJ111-AJ112</f>
        <v>1530273.4456118653</v>
      </c>
      <c r="AK113" s="196">
        <f t="shared" ref="AK113" si="160">AK110-AK111-AK112</f>
        <v>1713906.2590852873</v>
      </c>
      <c r="AL113" s="196">
        <f t="shared" ref="AL113" si="161">AL110-AL111-AL112</f>
        <v>1919575.0101755224</v>
      </c>
      <c r="AM113" s="196">
        <f t="shared" ref="AM113" si="162">AM110-AM111-AM112</f>
        <v>2149924.011396585</v>
      </c>
      <c r="AN113" s="196">
        <f t="shared" ref="AN113" si="163">AN110-AN111-AN112</f>
        <v>2407914.8927641753</v>
      </c>
      <c r="AO113" s="196">
        <f>AO110-AO111-AO112</f>
        <v>2696864.6798958778</v>
      </c>
      <c r="AP113" s="196">
        <f t="shared" ref="AP113" si="164">AP110-AP111-AP112</f>
        <v>3020488.4414833821</v>
      </c>
      <c r="AQ113" s="196">
        <f t="shared" ref="AQ113" si="165">AQ110-AQ111-AQ112</f>
        <v>3382947.0544613898</v>
      </c>
      <c r="AR113" s="196">
        <f t="shared" ref="AR113" si="166">AR110-AR111-AR112</f>
        <v>3788900.7009967566</v>
      </c>
      <c r="AS113" s="196">
        <f t="shared" ref="AS113" si="167">AS110-AS111-AS112</f>
        <v>4243568.7851163633</v>
      </c>
    </row>
    <row r="114" spans="1:45">
      <c r="B114" s="164" t="s">
        <v>365</v>
      </c>
      <c r="C114" s="163">
        <f>C113</f>
        <v>1104</v>
      </c>
      <c r="D114" s="163">
        <f>C114+D113</f>
        <v>13800</v>
      </c>
      <c r="E114" s="163">
        <f>D114+E113</f>
        <v>38088</v>
      </c>
      <c r="F114" s="203"/>
      <c r="G114" s="163"/>
      <c r="H114" s="200"/>
      <c r="I114" s="163"/>
      <c r="J114" s="163"/>
      <c r="K114" s="163"/>
      <c r="L114" s="163"/>
      <c r="M114" s="163"/>
      <c r="N114" s="163"/>
      <c r="O114" s="163"/>
      <c r="P114" s="163"/>
      <c r="Q114" s="163"/>
      <c r="R114" s="163"/>
      <c r="S114" s="163"/>
      <c r="T114" s="163"/>
      <c r="U114" s="163"/>
      <c r="V114" s="163"/>
      <c r="W114" s="163"/>
      <c r="X114" s="163"/>
      <c r="Y114" s="163"/>
      <c r="Z114" s="163"/>
      <c r="AA114" s="163"/>
      <c r="AB114" s="163"/>
      <c r="AC114" s="163"/>
      <c r="AD114" s="163"/>
      <c r="AE114" s="163"/>
      <c r="AF114" s="163"/>
      <c r="AG114" s="163"/>
      <c r="AH114" s="163"/>
      <c r="AI114" s="163"/>
      <c r="AJ114" s="163"/>
      <c r="AK114" s="163"/>
      <c r="AL114" s="163"/>
      <c r="AM114" s="163"/>
      <c r="AN114" s="163"/>
      <c r="AO114" s="163"/>
      <c r="AP114" s="163"/>
      <c r="AQ114" s="163"/>
      <c r="AR114" s="163"/>
      <c r="AS114" s="163"/>
    </row>
    <row r="115" spans="1:45">
      <c r="A115" s="193"/>
      <c r="B115" s="159" t="s">
        <v>380</v>
      </c>
      <c r="C115" s="159">
        <f>0</f>
        <v>0</v>
      </c>
      <c r="D115" s="159">
        <f>(C114+C116)*10%</f>
        <v>110.4</v>
      </c>
      <c r="E115" s="159">
        <f>(D114+D116)*10%</f>
        <v>1391.04</v>
      </c>
      <c r="F115" s="190">
        <f>C99+E118</f>
        <v>581000</v>
      </c>
      <c r="G115" s="196">
        <f>IF(F118&lt;0,F118*12%,F118*5%)</f>
        <v>-64969.267200000002</v>
      </c>
      <c r="H115" s="197">
        <f>IF(G118&lt;0,G118*12%,G118*10%)</f>
        <v>-72765.579264</v>
      </c>
      <c r="I115" s="191">
        <f t="shared" ref="I115:AS115" si="168">IF(H118&lt;0,H118*12%,H118*10%)</f>
        <v>-101537.44877567999</v>
      </c>
      <c r="J115" s="191">
        <f t="shared" si="168"/>
        <v>-105110.7426287616</v>
      </c>
      <c r="K115" s="191">
        <f t="shared" si="168"/>
        <v>-108079.48774421298</v>
      </c>
      <c r="L115" s="191">
        <f t="shared" si="168"/>
        <v>-110247.13699351852</v>
      </c>
      <c r="M115" s="191">
        <f t="shared" si="168"/>
        <v>-111378.67743914075</v>
      </c>
      <c r="N115" s="191">
        <f t="shared" si="168"/>
        <v>-111194.22881900561</v>
      </c>
      <c r="O115" s="191">
        <f t="shared" si="168"/>
        <v>-109361.65957491445</v>
      </c>
      <c r="P115" s="191">
        <f t="shared" si="168"/>
        <v>-105488.07681724771</v>
      </c>
      <c r="Q115" s="191">
        <f t="shared" si="168"/>
        <v>-99110.026299862177</v>
      </c>
      <c r="R115" s="191">
        <f t="shared" si="168"/>
        <v>-89682.215352135754</v>
      </c>
      <c r="S115" s="191">
        <f t="shared" si="168"/>
        <v>-76564.54539823698</v>
      </c>
      <c r="T115" s="191">
        <f t="shared" si="168"/>
        <v>-59007.210754331732</v>
      </c>
      <c r="U115" s="191">
        <f t="shared" si="168"/>
        <v>-36133.586342154616</v>
      </c>
      <c r="V115" s="191">
        <f t="shared" si="168"/>
        <v>-6920.5882361926024</v>
      </c>
      <c r="W115" s="191">
        <f t="shared" si="168"/>
        <v>24853.210882106097</v>
      </c>
      <c r="X115" s="191">
        <f t="shared" si="168"/>
        <v>62408.449727842235</v>
      </c>
      <c r="Y115" s="191">
        <f t="shared" si="168"/>
        <v>107927.60258905507</v>
      </c>
      <c r="Z115" s="191">
        <f>IF(Y118&lt;0,Y118*12%,Y118*10%)</f>
        <v>162712.06768300052</v>
      </c>
      <c r="AA115" s="191">
        <f t="shared" ref="AA115:AS115" si="169">IF(Z118&lt;0,Z118*12%,Z118*10%)</f>
        <v>228253.98386654543</v>
      </c>
      <c r="AB115" s="191">
        <f t="shared" si="169"/>
        <v>306262.57679827418</v>
      </c>
      <c r="AC115" s="191">
        <f t="shared" si="169"/>
        <v>398694.01236858469</v>
      </c>
      <c r="AD115" s="191">
        <f t="shared" si="169"/>
        <v>507785.21284278418</v>
      </c>
      <c r="AE115" s="191">
        <f t="shared" si="169"/>
        <v>636092.14927288459</v>
      </c>
      <c r="AF115" s="191">
        <f t="shared" si="169"/>
        <v>786533.18916349369</v>
      </c>
      <c r="AG115" s="191">
        <f t="shared" si="169"/>
        <v>962438.15203876223</v>
      </c>
      <c r="AH115" s="191">
        <f t="shared" si="169"/>
        <v>1167603.8084766278</v>
      </c>
      <c r="AI115" s="191">
        <f t="shared" si="169"/>
        <v>1406356.6515063588</v>
      </c>
      <c r="AJ115" s="191">
        <f t="shared" si="169"/>
        <v>1683623.8743009113</v>
      </c>
      <c r="AK115" s="191">
        <f t="shared" si="169"/>
        <v>2005013.6062921891</v>
      </c>
      <c r="AL115" s="191">
        <f t="shared" si="169"/>
        <v>2376905.5928299366</v>
      </c>
      <c r="AM115" s="191">
        <f t="shared" si="169"/>
        <v>2806553.6531304824</v>
      </c>
      <c r="AN115" s="191">
        <f t="shared" si="169"/>
        <v>3302201.4195831893</v>
      </c>
      <c r="AO115" s="191">
        <f t="shared" si="169"/>
        <v>3873213.0508179255</v>
      </c>
      <c r="AP115" s="191">
        <f>IF(AO118&lt;0,AO118*12%,AO118*10%)</f>
        <v>4530220.8238893067</v>
      </c>
      <c r="AQ115" s="191">
        <f t="shared" ref="AQ115:AS115" si="170">IF(AP118&lt;0,AP118*12%,AP118*10%)</f>
        <v>5285291.7504265755</v>
      </c>
      <c r="AR115" s="191">
        <f t="shared" si="170"/>
        <v>6152115.6309153717</v>
      </c>
      <c r="AS115" s="191">
        <f t="shared" si="170"/>
        <v>7146217.2641065838</v>
      </c>
    </row>
    <row r="116" spans="1:45">
      <c r="B116" s="164" t="s">
        <v>347</v>
      </c>
      <c r="C116" s="163">
        <f>C115</f>
        <v>0</v>
      </c>
      <c r="D116" s="163">
        <f>C116+D115</f>
        <v>110.4</v>
      </c>
      <c r="E116" s="163">
        <f>D116+E115</f>
        <v>1501.44</v>
      </c>
      <c r="F116" s="203"/>
      <c r="G116" s="163"/>
      <c r="H116" s="200"/>
      <c r="I116" s="163"/>
      <c r="J116" s="163"/>
      <c r="K116" s="163"/>
      <c r="L116" s="163"/>
      <c r="M116" s="163"/>
      <c r="N116" s="163"/>
      <c r="O116" s="163"/>
      <c r="P116" s="163"/>
      <c r="Q116" s="163"/>
      <c r="R116" s="163"/>
      <c r="S116" s="163"/>
      <c r="T116" s="163"/>
      <c r="U116" s="163"/>
      <c r="V116" s="163"/>
      <c r="W116" s="163"/>
      <c r="X116" s="163"/>
      <c r="Y116" s="163"/>
      <c r="Z116" s="163"/>
      <c r="AA116" s="163"/>
      <c r="AB116" s="163"/>
      <c r="AC116" s="163"/>
      <c r="AD116" s="163"/>
      <c r="AE116" s="163"/>
      <c r="AF116" s="163"/>
      <c r="AG116" s="163"/>
      <c r="AH116" s="163"/>
      <c r="AI116" s="163"/>
      <c r="AJ116" s="163"/>
      <c r="AK116" s="163"/>
      <c r="AL116" s="163"/>
      <c r="AM116" s="163"/>
      <c r="AN116" s="163"/>
      <c r="AO116" s="163"/>
      <c r="AP116" s="163"/>
      <c r="AQ116" s="163"/>
      <c r="AR116" s="163"/>
      <c r="AS116" s="163"/>
    </row>
    <row r="117" spans="1:45">
      <c r="B117" s="160" t="s">
        <v>205</v>
      </c>
      <c r="C117" s="160">
        <f>C113+C115</f>
        <v>1104</v>
      </c>
      <c r="D117" s="160">
        <f>D113+D115</f>
        <v>12806.4</v>
      </c>
      <c r="E117" s="160">
        <f>E113+E115</f>
        <v>25679.040000000001</v>
      </c>
      <c r="F117" s="204">
        <f t="shared" ref="F117:AS117" si="171">F113+F115</f>
        <v>334000</v>
      </c>
      <c r="G117" s="160">
        <f t="shared" si="171"/>
        <v>-231969.2672</v>
      </c>
      <c r="H117" s="201">
        <f t="shared" si="171"/>
        <v>-239765.579264</v>
      </c>
      <c r="I117" s="160">
        <f t="shared" si="171"/>
        <v>-29777.448775679994</v>
      </c>
      <c r="J117" s="160">
        <f t="shared" si="171"/>
        <v>-24739.542628761526</v>
      </c>
      <c r="K117" s="160">
        <f t="shared" si="171"/>
        <v>-18063.743744212916</v>
      </c>
      <c r="L117" s="160">
        <f t="shared" si="171"/>
        <v>-9429.5037135185121</v>
      </c>
      <c r="M117" s="160">
        <f t="shared" si="171"/>
        <v>1537.0718344594206</v>
      </c>
      <c r="N117" s="160">
        <f t="shared" si="171"/>
        <v>15271.410367426448</v>
      </c>
      <c r="O117" s="160">
        <f t="shared" si="171"/>
        <v>32279.856313889424</v>
      </c>
      <c r="P117" s="160">
        <f t="shared" si="171"/>
        <v>53150.420978212802</v>
      </c>
      <c r="Q117" s="160">
        <f t="shared" si="171"/>
        <v>78565.091231053477</v>
      </c>
      <c r="R117" s="160">
        <f t="shared" si="171"/>
        <v>109313.91628248974</v>
      </c>
      <c r="S117" s="160">
        <f t="shared" si="171"/>
        <v>146311.12203254373</v>
      </c>
      <c r="T117" s="160">
        <f t="shared" si="171"/>
        <v>190613.53676814266</v>
      </c>
      <c r="U117" s="160">
        <f t="shared" si="171"/>
        <v>243441.65088301679</v>
      </c>
      <c r="V117" s="160">
        <f t="shared" si="171"/>
        <v>306203.67745599931</v>
      </c>
      <c r="W117" s="160">
        <f t="shared" si="171"/>
        <v>375552.38845736138</v>
      </c>
      <c r="X117" s="160">
        <f t="shared" si="171"/>
        <v>455191.52861212811</v>
      </c>
      <c r="Y117" s="160">
        <f t="shared" si="171"/>
        <v>547844.65093945467</v>
      </c>
      <c r="Z117" s="160">
        <f t="shared" si="171"/>
        <v>655419.16183544882</v>
      </c>
      <c r="AA117" s="160">
        <f t="shared" si="171"/>
        <v>780085.92931728764</v>
      </c>
      <c r="AB117" s="160">
        <f t="shared" si="171"/>
        <v>924314.35570310475</v>
      </c>
      <c r="AC117" s="160">
        <f t="shared" si="171"/>
        <v>1090912.0047419954</v>
      </c>
      <c r="AD117" s="160">
        <f t="shared" si="171"/>
        <v>1283069.3643010042</v>
      </c>
      <c r="AE117" s="160">
        <f t="shared" si="171"/>
        <v>1504410.3989060912</v>
      </c>
      <c r="AF117" s="160">
        <f t="shared" si="171"/>
        <v>1759049.6287526849</v>
      </c>
      <c r="AG117" s="160">
        <f t="shared" si="171"/>
        <v>2051656.5643786569</v>
      </c>
      <c r="AH117" s="160">
        <f t="shared" si="171"/>
        <v>2387528.4302973095</v>
      </c>
      <c r="AI117" s="160">
        <f t="shared" si="171"/>
        <v>2772672.2279455224</v>
      </c>
      <c r="AJ117" s="160">
        <f t="shared" si="171"/>
        <v>3213897.3199127764</v>
      </c>
      <c r="AK117" s="160">
        <f t="shared" si="171"/>
        <v>3718919.8653774764</v>
      </c>
      <c r="AL117" s="160">
        <f t="shared" si="171"/>
        <v>4296480.6030054595</v>
      </c>
      <c r="AM117" s="160">
        <f t="shared" si="171"/>
        <v>4956477.6645270679</v>
      </c>
      <c r="AN117" s="160">
        <f t="shared" si="171"/>
        <v>5710116.3123473646</v>
      </c>
      <c r="AO117" s="160">
        <f t="shared" si="171"/>
        <v>6570077.7307138033</v>
      </c>
      <c r="AP117" s="160">
        <f t="shared" si="171"/>
        <v>7550709.2653726889</v>
      </c>
      <c r="AQ117" s="160">
        <f t="shared" si="171"/>
        <v>8668238.8048879653</v>
      </c>
      <c r="AR117" s="160">
        <f t="shared" si="171"/>
        <v>9941016.3319121283</v>
      </c>
      <c r="AS117" s="160">
        <f t="shared" si="171"/>
        <v>11389786.049222946</v>
      </c>
    </row>
    <row r="118" spans="1:45">
      <c r="A118" s="169"/>
      <c r="B118" s="160" t="s">
        <v>378</v>
      </c>
      <c r="C118" s="160">
        <f>C117</f>
        <v>1104</v>
      </c>
      <c r="D118" s="160">
        <f>C118+D117</f>
        <v>13910.4</v>
      </c>
      <c r="E118" s="160">
        <f>D118+E117</f>
        <v>39589.440000000002</v>
      </c>
      <c r="F118" s="190">
        <f>-C99</f>
        <v>-541410.56000000006</v>
      </c>
      <c r="G118" s="196">
        <f>F118+G115</f>
        <v>-606379.82720000006</v>
      </c>
      <c r="H118" s="197">
        <f>G118+H113+IF(G118&lt;0,G118*12%,G118*10%)</f>
        <v>-846145.406464</v>
      </c>
      <c r="I118" s="196">
        <f>H118+I113+IF(H118&lt;0,H118*12%,H118*10%)</f>
        <v>-875922.85523968004</v>
      </c>
      <c r="J118" s="196">
        <f t="shared" ref="J118:AB118" si="172">I118+J113+IF(I118&lt;0,I118*12%,I118*10%)</f>
        <v>-900662.39786844153</v>
      </c>
      <c r="K118" s="196">
        <f t="shared" si="172"/>
        <v>-918726.14161265444</v>
      </c>
      <c r="L118" s="196">
        <f t="shared" si="172"/>
        <v>-928155.64532617293</v>
      </c>
      <c r="M118" s="196">
        <f t="shared" si="172"/>
        <v>-926618.5734917135</v>
      </c>
      <c r="N118" s="196">
        <f t="shared" si="172"/>
        <v>-911347.16312428704</v>
      </c>
      <c r="O118" s="196">
        <f t="shared" si="172"/>
        <v>-879067.30681039765</v>
      </c>
      <c r="P118" s="196">
        <f t="shared" si="172"/>
        <v>-825916.88583218481</v>
      </c>
      <c r="Q118" s="196">
        <f t="shared" si="172"/>
        <v>-747351.79460113135</v>
      </c>
      <c r="R118" s="196">
        <f t="shared" si="172"/>
        <v>-638037.87831864157</v>
      </c>
      <c r="S118" s="196">
        <f t="shared" si="172"/>
        <v>-491726.75628609781</v>
      </c>
      <c r="T118" s="196">
        <f t="shared" si="172"/>
        <v>-301113.21951795515</v>
      </c>
      <c r="U118" s="196">
        <f t="shared" si="172"/>
        <v>-57671.568634938354</v>
      </c>
      <c r="V118" s="196">
        <f t="shared" si="172"/>
        <v>248532.10882106095</v>
      </c>
      <c r="W118" s="196">
        <f t="shared" si="172"/>
        <v>624084.49727842235</v>
      </c>
      <c r="X118" s="196">
        <f t="shared" si="172"/>
        <v>1079276.0258905506</v>
      </c>
      <c r="Y118" s="196">
        <f t="shared" si="172"/>
        <v>1627120.6768300051</v>
      </c>
      <c r="Z118" s="196">
        <f t="shared" si="172"/>
        <v>2282539.8386654542</v>
      </c>
      <c r="AA118" s="196">
        <f t="shared" si="172"/>
        <v>3062625.7679827418</v>
      </c>
      <c r="AB118" s="196">
        <f t="shared" si="172"/>
        <v>3986940.1236858466</v>
      </c>
      <c r="AC118" s="196">
        <f>AB118+AC113+IF(AB118&lt;0,AB118*12%,AB118*10%)</f>
        <v>5077852.1284278417</v>
      </c>
      <c r="AD118" s="196">
        <f t="shared" ref="AD118:AS118" si="173">AC118+AD113+IF(AC118&lt;0,AC118*12%,AC118*10%)</f>
        <v>6360921.4927288452</v>
      </c>
      <c r="AE118" s="196">
        <f t="shared" si="173"/>
        <v>7865331.8916349364</v>
      </c>
      <c r="AF118" s="196">
        <f t="shared" si="173"/>
        <v>9624381.5203876216</v>
      </c>
      <c r="AG118" s="196">
        <f t="shared" si="173"/>
        <v>11676038.084766278</v>
      </c>
      <c r="AH118" s="196">
        <f t="shared" si="173"/>
        <v>14063566.515063588</v>
      </c>
      <c r="AI118" s="196">
        <f t="shared" si="173"/>
        <v>16836238.743009113</v>
      </c>
      <c r="AJ118" s="196">
        <f t="shared" si="173"/>
        <v>20050136.062921889</v>
      </c>
      <c r="AK118" s="196">
        <f t="shared" si="173"/>
        <v>23769055.928299364</v>
      </c>
      <c r="AL118" s="196">
        <f t="shared" si="173"/>
        <v>28065536.531304821</v>
      </c>
      <c r="AM118" s="196">
        <f t="shared" si="173"/>
        <v>33022014.195831891</v>
      </c>
      <c r="AN118" s="196">
        <f t="shared" si="173"/>
        <v>38732130.508179255</v>
      </c>
      <c r="AO118" s="196">
        <f t="shared" si="173"/>
        <v>45302208.238893062</v>
      </c>
      <c r="AP118" s="196">
        <f t="shared" si="173"/>
        <v>52852917.504265748</v>
      </c>
      <c r="AQ118" s="196">
        <f t="shared" si="173"/>
        <v>61521156.309153713</v>
      </c>
      <c r="AR118" s="196">
        <f t="shared" si="173"/>
        <v>71462172.641065836</v>
      </c>
      <c r="AS118" s="196">
        <f t="shared" si="173"/>
        <v>82851958.690288782</v>
      </c>
    </row>
    <row r="119" spans="1:45">
      <c r="B119" s="160" t="s">
        <v>358</v>
      </c>
      <c r="C119" s="158"/>
      <c r="D119" s="158"/>
      <c r="E119" s="158"/>
      <c r="F119" s="198">
        <f>-PV($C90,F101,0,F113)</f>
        <v>-216666.66666666666</v>
      </c>
      <c r="G119" s="199">
        <f>-PV($C90,G101,0,G113)</f>
        <v>-128501.07725453982</v>
      </c>
      <c r="H119" s="202">
        <f>-PV($C90,H101,0,H113)</f>
        <v>-112720.24320573668</v>
      </c>
      <c r="I119" s="199">
        <f t="shared" ref="I119:AS119" si="174">-PV($C90,I101,0,I113)</f>
        <v>42487.680704084793</v>
      </c>
      <c r="J119" s="199">
        <f t="shared" si="174"/>
        <v>41742.28279699562</v>
      </c>
      <c r="K119" s="199">
        <f t="shared" si="174"/>
        <v>41009.962046171124</v>
      </c>
      <c r="L119" s="199">
        <f t="shared" si="174"/>
        <v>40290.489027817217</v>
      </c>
      <c r="M119" s="199">
        <f t="shared" si="174"/>
        <v>39583.638343118721</v>
      </c>
      <c r="N119" s="199">
        <f t="shared" si="174"/>
        <v>38889.188547625359</v>
      </c>
      <c r="O119" s="199">
        <f t="shared" si="174"/>
        <v>38206.922081877536</v>
      </c>
      <c r="P119" s="199">
        <f t="shared" si="174"/>
        <v>37536.625203248142</v>
      </c>
      <c r="Q119" s="199">
        <f t="shared" si="174"/>
        <v>36878.0879189806</v>
      </c>
      <c r="R119" s="199">
        <f t="shared" si="174"/>
        <v>36231.103920401983</v>
      </c>
      <c r="S119" s="199">
        <f t="shared" si="174"/>
        <v>35595.470518289687</v>
      </c>
      <c r="T119" s="199">
        <f t="shared" si="174"/>
        <v>34970.988579372322</v>
      </c>
      <c r="U119" s="199">
        <f t="shared" si="174"/>
        <v>34357.462463944743</v>
      </c>
      <c r="V119" s="199">
        <f t="shared" si="174"/>
        <v>33754.699964577281</v>
      </c>
      <c r="W119" s="199">
        <f t="shared" si="174"/>
        <v>33162.512245900514</v>
      </c>
      <c r="X119" s="199">
        <f t="shared" si="174"/>
        <v>32580.713785446114</v>
      </c>
      <c r="Y119" s="199">
        <f t="shared" si="174"/>
        <v>32009.122315525958</v>
      </c>
      <c r="Z119" s="199">
        <f t="shared" si="174"/>
        <v>31447.558766130809</v>
      </c>
      <c r="AA119" s="199">
        <f t="shared" si="174"/>
        <v>30895.847208830281</v>
      </c>
      <c r="AB119" s="199">
        <f t="shared" si="174"/>
        <v>30353.814801657772</v>
      </c>
      <c r="AC119" s="199">
        <f t="shared" si="174"/>
        <v>29821.291734962033</v>
      </c>
      <c r="AD119" s="199">
        <f t="shared" si="174"/>
        <v>29298.111178208321</v>
      </c>
      <c r="AE119" s="199">
        <f t="shared" si="174"/>
        <v>28784.109227713434</v>
      </c>
      <c r="AF119" s="199">
        <f t="shared" si="174"/>
        <v>28279.124855297403</v>
      </c>
      <c r="AG119" s="199">
        <f t="shared" si="174"/>
        <v>27782.99985783605</v>
      </c>
      <c r="AH119" s="199">
        <f t="shared" si="174"/>
        <v>27295.57880769857</v>
      </c>
      <c r="AI119" s="199">
        <f t="shared" si="174"/>
        <v>26816.709004054734</v>
      </c>
      <c r="AJ119" s="199">
        <f t="shared" si="174"/>
        <v>26346.240425036263</v>
      </c>
      <c r="AK119" s="199">
        <f t="shared" si="174"/>
        <v>25884.025680737352</v>
      </c>
      <c r="AL119" s="199">
        <f t="shared" si="174"/>
        <v>25429.919967040209</v>
      </c>
      <c r="AM119" s="199">
        <f t="shared" si="174"/>
        <v>24983.781020250026</v>
      </c>
      <c r="AN119" s="199">
        <f t="shared" si="174"/>
        <v>24545.469072526343</v>
      </c>
      <c r="AO119" s="199">
        <f t="shared" si="174"/>
        <v>24114.846808096063</v>
      </c>
      <c r="AP119" s="199">
        <f t="shared" si="174"/>
        <v>23691.77932023472</v>
      </c>
      <c r="AQ119" s="199">
        <f t="shared" si="174"/>
        <v>23276.134069002543</v>
      </c>
      <c r="AR119" s="199">
        <f t="shared" si="174"/>
        <v>22867.780839721792</v>
      </c>
      <c r="AS119" s="199">
        <f t="shared" si="174"/>
        <v>22466.591702182788</v>
      </c>
    </row>
    <row r="120" spans="1:45">
      <c r="B120" s="160" t="s">
        <v>359</v>
      </c>
      <c r="C120" s="158"/>
      <c r="D120" s="158"/>
      <c r="E120" s="158"/>
      <c r="F120" s="190">
        <f>-PV($C90,F101,0,F115)</f>
        <v>509649.12280701747</v>
      </c>
      <c r="G120" s="196">
        <f t="shared" ref="G120:X120" si="175">-PV($C90,G101,0,G115)</f>
        <v>-49991.741458910423</v>
      </c>
      <c r="H120" s="197">
        <f t="shared" si="175"/>
        <v>-49114.693363140061</v>
      </c>
      <c r="I120" s="196">
        <f t="shared" si="175"/>
        <v>-60118.32083456601</v>
      </c>
      <c r="J120" s="196">
        <f t="shared" si="175"/>
        <v>-54591.226008968209</v>
      </c>
      <c r="K120" s="196">
        <f t="shared" si="175"/>
        <v>-49239.560696846413</v>
      </c>
      <c r="L120" s="196">
        <f t="shared" si="175"/>
        <v>-44058.870644673189</v>
      </c>
      <c r="M120" s="196">
        <f t="shared" si="175"/>
        <v>-39044.8038935929</v>
      </c>
      <c r="N120" s="196">
        <f t="shared" si="175"/>
        <v>-34193.108561096313</v>
      </c>
      <c r="O120" s="196">
        <f t="shared" si="175"/>
        <v>-29499.630669046335</v>
      </c>
      <c r="P120" s="196">
        <f t="shared" si="175"/>
        <v>-24960.312017111042</v>
      </c>
      <c r="Q120" s="196">
        <f t="shared" si="175"/>
        <v>-20571.188100679461</v>
      </c>
      <c r="R120" s="196">
        <f t="shared" si="175"/>
        <v>-16328.386072353791</v>
      </c>
      <c r="S120" s="196">
        <f t="shared" si="175"/>
        <v>-12228.122746129829</v>
      </c>
      <c r="T120" s="196">
        <f t="shared" si="175"/>
        <v>-8266.7026433953033</v>
      </c>
      <c r="U120" s="196">
        <f t="shared" si="175"/>
        <v>-4440.5160798930356</v>
      </c>
      <c r="V120" s="196">
        <f t="shared" si="175"/>
        <v>-746.03729281300957</v>
      </c>
      <c r="W120" s="196">
        <f t="shared" si="175"/>
        <v>2350.1478273382327</v>
      </c>
      <c r="X120" s="196">
        <f t="shared" si="175"/>
        <v>5176.6788023351819</v>
      </c>
      <c r="Y120" s="196">
        <f>-PV($C90,Y101,0,Y115)</f>
        <v>7852.9982992222031</v>
      </c>
      <c r="Z120" s="196">
        <f t="shared" ref="Z120:AG120" si="176">-PV($C90,Z101,0,Z115)</f>
        <v>10385.272246225455</v>
      </c>
      <c r="AA120" s="196">
        <f t="shared" si="176"/>
        <v>12779.434515316738</v>
      </c>
      <c r="AB120" s="196">
        <f t="shared" si="176"/>
        <v>15041.195340115293</v>
      </c>
      <c r="AC120" s="196">
        <f t="shared" si="176"/>
        <v>17176.049433589997</v>
      </c>
      <c r="AD120" s="196">
        <f t="shared" si="176"/>
        <v>19189.283816179999</v>
      </c>
      <c r="AE120" s="196">
        <f t="shared" si="176"/>
        <v>21085.985364577919</v>
      </c>
      <c r="AF120" s="196">
        <f t="shared" si="176"/>
        <v>22871.048091058816</v>
      </c>
      <c r="AG120" s="196">
        <f t="shared" si="176"/>
        <v>24549.180162889854</v>
      </c>
      <c r="AH120" s="196">
        <f>-PV($C90,AH101,0,AH115)</f>
        <v>26124.910671019683</v>
      </c>
      <c r="AI120" s="196">
        <f t="shared" ref="AI120:AS120" si="177">-PV($C90,AI101,0,AI115)</f>
        <v>27602.596156922376</v>
      </c>
      <c r="AJ120" s="196">
        <f t="shared" si="177"/>
        <v>28986.426906157976</v>
      </c>
      <c r="AK120" s="196">
        <f t="shared" si="177"/>
        <v>30280.433016909996</v>
      </c>
      <c r="AL120" s="196">
        <f t="shared" si="177"/>
        <v>31488.490251469055</v>
      </c>
      <c r="AM120" s="196">
        <f t="shared" si="177"/>
        <v>32614.325678350855</v>
      </c>
      <c r="AN120" s="196">
        <f t="shared" si="177"/>
        <v>33661.523112465744</v>
      </c>
      <c r="AO120" s="196">
        <f t="shared" si="177"/>
        <v>34633.528360495562</v>
      </c>
      <c r="AP120" s="196">
        <f t="shared" si="177"/>
        <v>35533.654278381342</v>
      </c>
      <c r="AQ120" s="196">
        <f t="shared" si="177"/>
        <v>36365.085647581531</v>
      </c>
      <c r="AR120" s="196">
        <f t="shared" si="177"/>
        <v>37130.883876526248</v>
      </c>
      <c r="AS120" s="196">
        <f t="shared" si="177"/>
        <v>37833.991533465829</v>
      </c>
    </row>
    <row r="121" spans="1:45">
      <c r="B121" s="151" t="s">
        <v>212</v>
      </c>
      <c r="C121" s="180">
        <f>NPV(C90,F117:AS117)-C98</f>
        <v>1229160.2627960504</v>
      </c>
      <c r="D121" t="s">
        <v>397</v>
      </c>
    </row>
    <row r="122" spans="1:45">
      <c r="B122" s="151" t="s">
        <v>381</v>
      </c>
      <c r="C122" s="180">
        <f>SUM(F119:AS119)</f>
        <v>705780.67768365191</v>
      </c>
    </row>
    <row r="123" spans="1:45">
      <c r="B123" s="151" t="s">
        <v>382</v>
      </c>
      <c r="C123" s="180">
        <f>SUM(F120:AS120)</f>
        <v>562969.02511239809</v>
      </c>
    </row>
    <row r="125" spans="1:45">
      <c r="A125" s="152" t="s">
        <v>391</v>
      </c>
      <c r="B125" s="172" t="s">
        <v>393</v>
      </c>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c r="AB125" s="114"/>
      <c r="AC125" s="114"/>
      <c r="AD125" s="114"/>
      <c r="AE125" s="114"/>
      <c r="AF125" s="114"/>
      <c r="AG125" s="114"/>
      <c r="AH125" s="114"/>
      <c r="AI125" s="114"/>
      <c r="AJ125" s="114"/>
      <c r="AK125" s="114"/>
      <c r="AL125" s="114"/>
      <c r="AM125" s="114"/>
      <c r="AN125" s="114"/>
      <c r="AO125" s="114"/>
      <c r="AP125" s="114"/>
      <c r="AQ125" s="114"/>
      <c r="AR125" s="114"/>
      <c r="AS125" s="114"/>
    </row>
    <row r="126" spans="1:45">
      <c r="B126" s="206" t="s">
        <v>395</v>
      </c>
      <c r="C126" s="206"/>
      <c r="D126" s="206"/>
      <c r="E126" s="206"/>
      <c r="F126" s="206"/>
      <c r="G126" s="206"/>
      <c r="H126" s="206"/>
      <c r="I126" s="206"/>
    </row>
    <row r="127" spans="1:45" s="154" customFormat="1">
      <c r="A127" s="152"/>
      <c r="B127" s="206"/>
      <c r="C127" s="206"/>
      <c r="D127" s="206"/>
      <c r="E127" s="206"/>
      <c r="F127" s="206"/>
      <c r="G127" s="206"/>
      <c r="H127" s="206"/>
      <c r="I127" s="206"/>
    </row>
    <row r="128" spans="1:45">
      <c r="B128" s="206"/>
      <c r="C128" s="206"/>
      <c r="D128" s="206"/>
      <c r="E128" s="206"/>
      <c r="F128" s="206"/>
      <c r="G128" s="206"/>
      <c r="H128" s="206"/>
      <c r="I128" s="206"/>
    </row>
    <row r="129" spans="1:45">
      <c r="B129" s="206"/>
      <c r="C129" s="206"/>
      <c r="D129" s="206"/>
      <c r="E129" s="206"/>
      <c r="F129" s="206"/>
      <c r="G129" s="206"/>
      <c r="H129" s="206"/>
      <c r="I129" s="206"/>
    </row>
    <row r="130" spans="1:45">
      <c r="A130" s="152" t="s">
        <v>392</v>
      </c>
      <c r="B130" s="172" t="s">
        <v>394</v>
      </c>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c r="AB130" s="114"/>
      <c r="AC130" s="114"/>
      <c r="AD130" s="114"/>
      <c r="AE130" s="114"/>
      <c r="AF130" s="114"/>
      <c r="AG130" s="114"/>
      <c r="AH130" s="114"/>
      <c r="AI130" s="114"/>
      <c r="AJ130" s="114"/>
      <c r="AK130" s="114"/>
      <c r="AL130" s="114"/>
      <c r="AM130" s="114"/>
      <c r="AN130" s="114"/>
      <c r="AO130" s="114"/>
      <c r="AP130" s="114"/>
      <c r="AQ130" s="114"/>
      <c r="AR130" s="114"/>
      <c r="AS130" s="114"/>
    </row>
    <row r="131" spans="1:45">
      <c r="B131" s="206" t="s">
        <v>396</v>
      </c>
      <c r="C131" s="206"/>
      <c r="D131" s="206"/>
      <c r="E131" s="206"/>
      <c r="F131" s="206"/>
      <c r="G131" s="206"/>
      <c r="H131" s="206"/>
      <c r="I131" s="206"/>
    </row>
    <row r="132" spans="1:45">
      <c r="B132" s="206"/>
      <c r="C132" s="206"/>
      <c r="D132" s="206"/>
      <c r="E132" s="206"/>
      <c r="F132" s="206"/>
      <c r="G132" s="206"/>
      <c r="H132" s="206"/>
      <c r="I132" s="206"/>
    </row>
    <row r="133" spans="1:45">
      <c r="B133" s="206"/>
      <c r="C133" s="206"/>
      <c r="D133" s="206"/>
      <c r="E133" s="206"/>
      <c r="F133" s="206"/>
      <c r="G133" s="206"/>
      <c r="H133" s="206"/>
      <c r="I133" s="206"/>
    </row>
    <row r="134" spans="1:45">
      <c r="B134" s="206"/>
      <c r="C134" s="206"/>
      <c r="D134" s="206"/>
      <c r="E134" s="206"/>
      <c r="F134" s="206"/>
      <c r="G134" s="206"/>
      <c r="H134" s="206"/>
      <c r="I134" s="206"/>
    </row>
  </sheetData>
  <mergeCells count="7">
    <mergeCell ref="F99:G99"/>
    <mergeCell ref="C101:E101"/>
    <mergeCell ref="B126:I129"/>
    <mergeCell ref="B131:I134"/>
    <mergeCell ref="C31:E31"/>
    <mergeCell ref="C63:E63"/>
    <mergeCell ref="F61:G61"/>
  </mergeCells>
  <pageMargins left="0.7" right="0.7" top="0.75" bottom="0.75" header="0.3" footer="0.3"/>
  <ignoredErrors>
    <ignoredError sqref="C21:E21"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Questions</vt:lpstr>
      <vt:lpstr>Case</vt:lpstr>
      <vt:lpstr>Case bonus</vt:lpstr>
      <vt:lpstr>Розв'язок бонусного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2020-04-12T18:46:51Z</dcterms:modified>
</cp:coreProperties>
</file>