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bitbucket\x2c_demos\mc_foc_sl_fip_float_dsPIC33A_mclv48v300w\project\"/>
    </mc:Choice>
  </mc:AlternateContent>
  <xr:revisionPtr revIDLastSave="0" documentId="13_ncr:1_{6347480D-36BA-46CC-99D6-9DD57EDF6C5F}" xr6:coauthVersionLast="47" xr6:coauthVersionMax="47" xr10:uidLastSave="{00000000-0000-0000-0000-000000000000}"/>
  <bookViews>
    <workbookView xWindow="-28920" yWindow="-120" windowWidth="29040" windowHeight="15720" xr2:uid="{12F84370-6476-4031-8464-FB8E37292FD5}"/>
  </bookViews>
  <sheets>
    <sheet name="Transform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B8" i="1"/>
  <c r="B7" i="1"/>
  <c r="B6" i="1"/>
  <c r="B10" i="1" l="1"/>
  <c r="B11" i="1" s="1"/>
  <c r="B14" i="1" s="1"/>
  <c r="B13" i="1" l="1"/>
  <c r="B28" i="1"/>
  <c r="B15" i="1"/>
  <c r="B18" i="1"/>
  <c r="D18" i="1" s="1"/>
  <c r="E18" i="1" s="1"/>
  <c r="B19" i="1" l="1"/>
  <c r="D19" i="1" s="1"/>
  <c r="E19" i="1" s="1"/>
  <c r="B17" i="1"/>
  <c r="D17" i="1" s="1"/>
  <c r="B22" i="1" s="1"/>
  <c r="E17" i="1" l="1"/>
  <c r="C22" i="1"/>
  <c r="B25" i="1"/>
  <c r="B23" i="1"/>
  <c r="B24" i="1"/>
  <c r="B27" i="1" l="1"/>
  <c r="B32" i="1" s="1"/>
  <c r="B31" i="1"/>
  <c r="D31" i="1" s="1"/>
  <c r="B39" i="1" l="1"/>
  <c r="D32" i="1"/>
  <c r="D33" i="1" s="1"/>
</calcChain>
</file>

<file path=xl/sharedStrings.xml><?xml version="1.0" encoding="utf-8"?>
<sst xmlns="http://schemas.openxmlformats.org/spreadsheetml/2006/main" count="58" uniqueCount="48">
  <si>
    <t>Lab</t>
  </si>
  <si>
    <t>Lbc</t>
  </si>
  <si>
    <t>Lca</t>
  </si>
  <si>
    <t>L0 - L1cos(2q-120)</t>
  </si>
  <si>
    <t>Lab/2</t>
  </si>
  <si>
    <t>M1</t>
  </si>
  <si>
    <t>L0 - L1cos(2q+120)</t>
  </si>
  <si>
    <t>Lac/2</t>
  </si>
  <si>
    <t>M2</t>
  </si>
  <si>
    <t>L0 - L1cos(2q)</t>
  </si>
  <si>
    <t>Lbc/2</t>
  </si>
  <si>
    <t>M3</t>
  </si>
  <si>
    <t>3L0</t>
  </si>
  <si>
    <t>M1 + M2 + M3</t>
  </si>
  <si>
    <t>L0</t>
  </si>
  <si>
    <t>L0 - M1 = L1cos(2q-120)</t>
  </si>
  <si>
    <t>n1</t>
  </si>
  <si>
    <t>L0 - M2 = L1cos(2q+120)</t>
  </si>
  <si>
    <t>n2</t>
  </si>
  <si>
    <t>L0 - M3 = L1cos(2q)</t>
  </si>
  <si>
    <t>n3</t>
  </si>
  <si>
    <t>rad</t>
  </si>
  <si>
    <t>deg</t>
  </si>
  <si>
    <t>tan(2q) from n1/n2</t>
  </si>
  <si>
    <t>2q</t>
  </si>
  <si>
    <t>tan(2q) from n2/n3</t>
  </si>
  <si>
    <t>tan(2q) from n3/n1</t>
  </si>
  <si>
    <t>average_2q</t>
  </si>
  <si>
    <t>L1 from n1</t>
  </si>
  <si>
    <t>L1 from n2</t>
  </si>
  <si>
    <t>L1 from n3</t>
  </si>
  <si>
    <t>Average L1</t>
  </si>
  <si>
    <t>Average L0</t>
  </si>
  <si>
    <t>Ld</t>
  </si>
  <si>
    <r>
      <t>f</t>
    </r>
    <r>
      <rPr>
        <vertAlign val="subscript"/>
        <sz val="11"/>
        <color theme="1"/>
        <rFont val="Calibri"/>
        <family val="2"/>
        <scheme val="minor"/>
      </rPr>
      <t>PWM</t>
    </r>
  </si>
  <si>
    <t>Hz</t>
  </si>
  <si>
    <t>Lq</t>
  </si>
  <si>
    <r>
      <t>V</t>
    </r>
    <r>
      <rPr>
        <vertAlign val="subscript"/>
        <sz val="11"/>
        <color theme="1"/>
        <rFont val="Calibri"/>
        <family val="2"/>
        <scheme val="minor"/>
      </rPr>
      <t>HFI</t>
    </r>
  </si>
  <si>
    <t>V</t>
  </si>
  <si>
    <t>A</t>
  </si>
  <si>
    <t>mH</t>
  </si>
  <si>
    <t>Input three-phase stator inductance</t>
  </si>
  <si>
    <t>Calculated Keps</t>
  </si>
  <si>
    <t>Calculated indutances in rotor reference frame</t>
  </si>
  <si>
    <t>ZS/MT tuning configuration</t>
  </si>
  <si>
    <t>H</t>
  </si>
  <si>
    <t>H            =</t>
  </si>
  <si>
    <t>ξ  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</si>
</sst>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 applyProtection="1">
      <protection locked="0"/>
    </xf>
    <xf numFmtId="0" fontId="0" fillId="0" borderId="0" xfId="0" quotePrefix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2" fillId="0" borderId="0" xfId="0" applyFont="1"/>
    <xf numFmtId="0" fontId="3" fillId="0" borderId="0" xfId="0" quotePrefix="1" applyFont="1" applyAlignment="1">
      <alignment horizontal="center" vertical="center"/>
    </xf>
    <xf numFmtId="165" fontId="3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7AA9-C33E-4873-8B83-742B3E979E71}">
  <dimension ref="A1:F39"/>
  <sheetViews>
    <sheetView tabSelected="1" workbookViewId="0">
      <selection activeCell="F2" sqref="F2"/>
    </sheetView>
  </sheetViews>
  <sheetFormatPr defaultRowHeight="14.4" x14ac:dyDescent="0.3"/>
  <cols>
    <col min="1" max="1" width="21" bestFit="1" customWidth="1"/>
    <col min="2" max="2" width="11.44140625" customWidth="1"/>
    <col min="4" max="4" width="8.88671875" customWidth="1"/>
  </cols>
  <sheetData>
    <row r="1" spans="1:6" x14ac:dyDescent="0.3">
      <c r="A1" s="10" t="s">
        <v>41</v>
      </c>
      <c r="B1" s="10"/>
    </row>
    <row r="2" spans="1:6" x14ac:dyDescent="0.3">
      <c r="A2" t="s">
        <v>0</v>
      </c>
      <c r="B2" s="1">
        <v>2.43E-4</v>
      </c>
      <c r="C2" t="s">
        <v>45</v>
      </c>
    </row>
    <row r="3" spans="1:6" x14ac:dyDescent="0.3">
      <c r="A3" t="s">
        <v>1</v>
      </c>
      <c r="B3" s="1">
        <v>2.7799999999999998E-4</v>
      </c>
      <c r="C3" t="s">
        <v>45</v>
      </c>
    </row>
    <row r="4" spans="1:6" x14ac:dyDescent="0.3">
      <c r="A4" t="s">
        <v>2</v>
      </c>
      <c r="B4" s="1">
        <v>2.9100000000000003E-4</v>
      </c>
      <c r="C4" t="s">
        <v>45</v>
      </c>
    </row>
    <row r="6" spans="1:6" x14ac:dyDescent="0.3">
      <c r="A6" s="7" t="s">
        <v>3</v>
      </c>
      <c r="B6" s="7">
        <f>B2/2</f>
        <v>1.215E-4</v>
      </c>
      <c r="C6" s="7" t="s">
        <v>4</v>
      </c>
      <c r="D6" s="7" t="s">
        <v>5</v>
      </c>
      <c r="E6" s="7"/>
      <c r="F6" s="7"/>
    </row>
    <row r="7" spans="1:6" x14ac:dyDescent="0.3">
      <c r="A7" s="7" t="s">
        <v>6</v>
      </c>
      <c r="B7" s="7">
        <f>B4/2</f>
        <v>1.4550000000000001E-4</v>
      </c>
      <c r="C7" s="7" t="s">
        <v>7</v>
      </c>
      <c r="D7" s="7" t="s">
        <v>8</v>
      </c>
      <c r="E7" s="7"/>
      <c r="F7" s="7"/>
    </row>
    <row r="8" spans="1:6" x14ac:dyDescent="0.3">
      <c r="A8" s="7" t="s">
        <v>9</v>
      </c>
      <c r="B8" s="7">
        <f>B3/2</f>
        <v>1.3899999999999999E-4</v>
      </c>
      <c r="C8" s="7" t="s">
        <v>10</v>
      </c>
      <c r="D8" s="7" t="s">
        <v>11</v>
      </c>
      <c r="E8" s="7"/>
      <c r="F8" s="7"/>
    </row>
    <row r="9" spans="1:6" x14ac:dyDescent="0.3">
      <c r="A9" s="7"/>
      <c r="B9" s="7"/>
      <c r="C9" s="7"/>
      <c r="D9" s="7"/>
      <c r="E9" s="7"/>
      <c r="F9" s="7"/>
    </row>
    <row r="10" spans="1:6" x14ac:dyDescent="0.3">
      <c r="A10" s="7" t="s">
        <v>12</v>
      </c>
      <c r="B10" s="7">
        <f>B6+B7+B8</f>
        <v>4.06E-4</v>
      </c>
      <c r="C10" s="7" t="s">
        <v>13</v>
      </c>
      <c r="D10" s="7"/>
      <c r="E10" s="7"/>
      <c r="F10" s="7"/>
    </row>
    <row r="11" spans="1:6" x14ac:dyDescent="0.3">
      <c r="A11" s="7" t="s">
        <v>14</v>
      </c>
      <c r="B11" s="7">
        <f>B10/3</f>
        <v>1.3533333333333333E-4</v>
      </c>
      <c r="C11" s="7"/>
      <c r="D11" s="7"/>
      <c r="E11" s="7"/>
      <c r="F11" s="7"/>
    </row>
    <row r="12" spans="1:6" x14ac:dyDescent="0.3">
      <c r="A12" s="7"/>
      <c r="B12" s="7"/>
      <c r="C12" s="7"/>
      <c r="D12" s="7"/>
      <c r="E12" s="7"/>
      <c r="F12" s="7"/>
    </row>
    <row r="13" spans="1:6" x14ac:dyDescent="0.3">
      <c r="A13" s="7" t="s">
        <v>15</v>
      </c>
      <c r="B13" s="7">
        <f>B11-B6</f>
        <v>1.3833333333333335E-5</v>
      </c>
      <c r="C13" s="7" t="s">
        <v>16</v>
      </c>
      <c r="D13" s="7"/>
      <c r="E13" s="7"/>
      <c r="F13" s="7"/>
    </row>
    <row r="14" spans="1:6" x14ac:dyDescent="0.3">
      <c r="A14" s="7" t="s">
        <v>17</v>
      </c>
      <c r="B14" s="7">
        <f>B11-B7</f>
        <v>-1.0166666666666679E-5</v>
      </c>
      <c r="C14" s="7" t="s">
        <v>18</v>
      </c>
      <c r="D14" s="7"/>
      <c r="E14" s="7"/>
      <c r="F14" s="7"/>
    </row>
    <row r="15" spans="1:6" x14ac:dyDescent="0.3">
      <c r="A15" s="7" t="s">
        <v>19</v>
      </c>
      <c r="B15" s="7">
        <f>B11-B8</f>
        <v>-3.6666666666666564E-6</v>
      </c>
      <c r="C15" s="7" t="s">
        <v>20</v>
      </c>
      <c r="D15" s="7"/>
      <c r="E15" s="7"/>
      <c r="F15" s="7"/>
    </row>
    <row r="16" spans="1:6" x14ac:dyDescent="0.3">
      <c r="A16" s="7"/>
      <c r="B16" s="7"/>
      <c r="C16" s="7"/>
      <c r="D16" s="7" t="s">
        <v>21</v>
      </c>
      <c r="E16" s="7" t="s">
        <v>22</v>
      </c>
      <c r="F16" s="7"/>
    </row>
    <row r="17" spans="1:6" x14ac:dyDescent="0.3">
      <c r="A17" s="7" t="s">
        <v>23</v>
      </c>
      <c r="B17" s="7">
        <f>(B14-B13)/(SQRT(3)*(B14+B13))</f>
        <v>-3.7790199437866545</v>
      </c>
      <c r="C17" s="7" t="s">
        <v>24</v>
      </c>
      <c r="D17" s="7">
        <f>ATAN(B17)</f>
        <v>-1.3121067481206803</v>
      </c>
      <c r="E17" s="7">
        <f>D17*180/PI()</f>
        <v>-75.178178937949937</v>
      </c>
      <c r="F17" s="7"/>
    </row>
    <row r="18" spans="1:6" x14ac:dyDescent="0.3">
      <c r="A18" s="7" t="s">
        <v>25</v>
      </c>
      <c r="B18" s="7">
        <f>-(2*B14+B15)/(SQRT(3)*B15)</f>
        <v>-3.7790199437866545</v>
      </c>
      <c r="C18" s="7" t="s">
        <v>24</v>
      </c>
      <c r="D18" s="7">
        <f>ATAN(B18)</f>
        <v>-1.3121067481206803</v>
      </c>
      <c r="E18" s="7">
        <f>D18*180/PI()</f>
        <v>-75.178178937949937</v>
      </c>
      <c r="F18" s="7"/>
    </row>
    <row r="19" spans="1:6" x14ac:dyDescent="0.3">
      <c r="A19" s="7" t="s">
        <v>26</v>
      </c>
      <c r="B19" s="7">
        <f>(2*B13+B15)/(SQRT(3)*B15)</f>
        <v>-3.7790199437866545</v>
      </c>
      <c r="C19" s="7" t="s">
        <v>24</v>
      </c>
      <c r="D19" s="7">
        <f>ATAN(B19)</f>
        <v>-1.3121067481206803</v>
      </c>
      <c r="E19" s="7">
        <f>D19*180/PI()</f>
        <v>-75.178178937949937</v>
      </c>
      <c r="F19" s="7"/>
    </row>
    <row r="20" spans="1:6" x14ac:dyDescent="0.3">
      <c r="A20" s="7"/>
      <c r="B20" s="7"/>
      <c r="C20" s="7"/>
      <c r="D20" s="7"/>
      <c r="E20" s="7"/>
      <c r="F20" s="7"/>
    </row>
    <row r="21" spans="1:6" x14ac:dyDescent="0.3">
      <c r="A21" s="7"/>
      <c r="B21" s="7" t="s">
        <v>21</v>
      </c>
      <c r="C21" s="7" t="s">
        <v>22</v>
      </c>
      <c r="D21" s="7"/>
      <c r="E21" s="7" t="s">
        <v>22</v>
      </c>
      <c r="F21" s="7" t="s">
        <v>21</v>
      </c>
    </row>
    <row r="22" spans="1:6" x14ac:dyDescent="0.3">
      <c r="A22" s="7" t="s">
        <v>27</v>
      </c>
      <c r="B22" s="7">
        <f>AVERAGE(D17:D19)</f>
        <v>-1.3121067481206803</v>
      </c>
      <c r="C22" s="7">
        <f>B22*180/PI()</f>
        <v>-75.178178937949937</v>
      </c>
      <c r="D22" s="7"/>
      <c r="E22" s="7">
        <v>120</v>
      </c>
      <c r="F22" s="7">
        <f>E22*PI()/180</f>
        <v>2.0943951023931953</v>
      </c>
    </row>
    <row r="23" spans="1:6" x14ac:dyDescent="0.3">
      <c r="A23" s="7" t="s">
        <v>28</v>
      </c>
      <c r="B23" s="7">
        <f>B13/COS(B22-F22)</f>
        <v>-1.4333333333333339E-5</v>
      </c>
      <c r="C23" s="7"/>
      <c r="D23" s="7"/>
      <c r="E23" s="7"/>
      <c r="F23" s="7"/>
    </row>
    <row r="24" spans="1:6" x14ac:dyDescent="0.3">
      <c r="A24" s="7" t="s">
        <v>29</v>
      </c>
      <c r="B24" s="7">
        <f>B14/COS(B22+F22)</f>
        <v>-1.4333333333333334E-5</v>
      </c>
      <c r="C24" s="7"/>
      <c r="D24" s="7"/>
      <c r="E24" s="7"/>
      <c r="F24" s="7"/>
    </row>
    <row r="25" spans="1:6" x14ac:dyDescent="0.3">
      <c r="A25" s="7" t="s">
        <v>30</v>
      </c>
      <c r="B25" s="7">
        <f>B15/COS(B22)</f>
        <v>-1.4333333333333342E-5</v>
      </c>
      <c r="C25" s="7"/>
      <c r="D25" s="7"/>
      <c r="E25" s="7"/>
      <c r="F25" s="7"/>
    </row>
    <row r="26" spans="1:6" x14ac:dyDescent="0.3">
      <c r="A26" s="7"/>
      <c r="B26" s="7"/>
      <c r="C26" s="7"/>
      <c r="D26" s="7"/>
      <c r="E26" s="7"/>
      <c r="F26" s="7"/>
    </row>
    <row r="27" spans="1:6" x14ac:dyDescent="0.3">
      <c r="A27" s="7" t="s">
        <v>31</v>
      </c>
      <c r="B27" s="7">
        <f>AVERAGE(B23:B25)</f>
        <v>-1.4333333333333339E-5</v>
      </c>
      <c r="C27" s="7"/>
      <c r="D27" s="7"/>
      <c r="E27" s="7"/>
      <c r="F27" s="7"/>
    </row>
    <row r="28" spans="1:6" x14ac:dyDescent="0.3">
      <c r="A28" s="7" t="s">
        <v>32</v>
      </c>
      <c r="B28" s="7">
        <f>B11</f>
        <v>1.3533333333333333E-4</v>
      </c>
      <c r="C28" s="7"/>
      <c r="D28" s="7"/>
      <c r="E28" s="7"/>
      <c r="F28" s="7"/>
    </row>
    <row r="30" spans="1:6" x14ac:dyDescent="0.3">
      <c r="A30" s="10" t="s">
        <v>43</v>
      </c>
      <c r="B30" s="10"/>
      <c r="C30" s="10"/>
      <c r="D30" s="10"/>
      <c r="E30" s="10"/>
    </row>
    <row r="31" spans="1:6" x14ac:dyDescent="0.3">
      <c r="A31" t="s">
        <v>33</v>
      </c>
      <c r="B31" s="3">
        <f>IF(B27&lt;0,B28+B27,B28-B27)</f>
        <v>1.21E-4</v>
      </c>
      <c r="C31" s="2" t="s">
        <v>46</v>
      </c>
      <c r="D31" s="4">
        <f>B31/0.001</f>
        <v>0.121</v>
      </c>
      <c r="E31" t="s">
        <v>40</v>
      </c>
    </row>
    <row r="32" spans="1:6" x14ac:dyDescent="0.3">
      <c r="A32" t="s">
        <v>36</v>
      </c>
      <c r="B32" s="3">
        <f>IF(B27&lt;0,B28-B27,B28+B27)</f>
        <v>1.4966666666666668E-4</v>
      </c>
      <c r="C32" s="2" t="s">
        <v>46</v>
      </c>
      <c r="D32" s="4">
        <f>B32/0.001</f>
        <v>0.14966666666666667</v>
      </c>
      <c r="E32" t="s">
        <v>40</v>
      </c>
    </row>
    <row r="33" spans="1:4" x14ac:dyDescent="0.3">
      <c r="B33" s="3"/>
      <c r="C33" s="8" t="s">
        <v>47</v>
      </c>
      <c r="D33" s="9">
        <f>D32/D31</f>
        <v>1.2369146005509644</v>
      </c>
    </row>
    <row r="35" spans="1:4" x14ac:dyDescent="0.3">
      <c r="A35" s="10" t="s">
        <v>44</v>
      </c>
      <c r="B35" s="10"/>
      <c r="C35" s="10"/>
      <c r="D35" s="10"/>
    </row>
    <row r="36" spans="1:4" ht="15.6" x14ac:dyDescent="0.35">
      <c r="A36" t="s">
        <v>34</v>
      </c>
      <c r="B36" s="5">
        <v>20000</v>
      </c>
      <c r="C36" t="s">
        <v>35</v>
      </c>
    </row>
    <row r="37" spans="1:4" ht="15.6" x14ac:dyDescent="0.35">
      <c r="A37" t="s">
        <v>37</v>
      </c>
      <c r="B37" s="6">
        <v>2.8866999999999998</v>
      </c>
      <c r="C37" t="s">
        <v>38</v>
      </c>
    </row>
    <row r="39" spans="1:4" x14ac:dyDescent="0.3">
      <c r="A39" t="s">
        <v>42</v>
      </c>
      <c r="B39" s="4">
        <f>((B37)/(4*(B36/2)*B32*B31))*((B32-B31)/2)*SIN(RADIANS(2*45))*8</f>
        <v>0.45694969537447788</v>
      </c>
      <c r="C39" t="s">
        <v>39</v>
      </c>
    </row>
  </sheetData>
  <sheetProtection sheet="1" objects="1" scenarios="1"/>
  <mergeCells count="3">
    <mergeCell ref="A1:B1"/>
    <mergeCell ref="A30:E30"/>
    <mergeCell ref="A35:D3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 Deshmukh - C14317</dc:creator>
  <cp:lastModifiedBy>Christoph Baumgartner - M91110</cp:lastModifiedBy>
  <dcterms:created xsi:type="dcterms:W3CDTF">2019-12-04T20:16:00Z</dcterms:created>
  <dcterms:modified xsi:type="dcterms:W3CDTF">2025-04-09T12:59:37Z</dcterms:modified>
</cp:coreProperties>
</file>