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evorross/Desktop/My Projects/bettingatwork/"/>
    </mc:Choice>
  </mc:AlternateContent>
  <xr:revisionPtr revIDLastSave="0" documentId="13_ncr:1_{11231C16-D900-3141-A57E-CC78EC15A0FB}" xr6:coauthVersionLast="47" xr6:coauthVersionMax="47" xr10:uidLastSave="{00000000-0000-0000-0000-000000000000}"/>
  <bookViews>
    <workbookView xWindow="0" yWindow="0" windowWidth="28800" windowHeight="18000" firstSheet="62" activeTab="77" xr2:uid="{16EFE6C4-92B7-6541-967E-29AAF9B7C019}"/>
  </bookViews>
  <sheets>
    <sheet name="5.3.2021" sheetId="1" r:id="rId1"/>
    <sheet name="5.10.2021" sheetId="3" r:id="rId2"/>
    <sheet name="5.17.2021" sheetId="4" r:id="rId3"/>
    <sheet name="5.24.2021" sheetId="5" r:id="rId4"/>
    <sheet name="5.31.2021" sheetId="6" r:id="rId5"/>
    <sheet name="6.7.2021" sheetId="7" r:id="rId6"/>
    <sheet name="6.14.2021" sheetId="8" r:id="rId7"/>
    <sheet name="6.21.2021" sheetId="9" r:id="rId8"/>
    <sheet name="6.28.2021" sheetId="10" r:id="rId9"/>
    <sheet name="7.5.2021" sheetId="12" r:id="rId10"/>
    <sheet name="7.12.2021" sheetId="13" r:id="rId11"/>
    <sheet name="7.19.2021" sheetId="14" r:id="rId12"/>
    <sheet name="7.26.2021" sheetId="15" r:id="rId13"/>
    <sheet name="8.02.2021" sheetId="17" r:id="rId14"/>
    <sheet name="8.09.2021" sheetId="19" r:id="rId15"/>
    <sheet name="8.17.2021" sheetId="20" r:id="rId16"/>
    <sheet name="8.23.2021" sheetId="21" r:id="rId17"/>
    <sheet name="Sheet6" sheetId="18" state="hidden" r:id="rId18"/>
    <sheet name="8.30.2021" sheetId="22" r:id="rId19"/>
    <sheet name="9.6.2021" sheetId="24" r:id="rId20"/>
    <sheet name="9.13.2021" sheetId="25" r:id="rId21"/>
    <sheet name="9.20.2021" sheetId="27" r:id="rId22"/>
    <sheet name="9.27.2021" sheetId="29" r:id="rId23"/>
    <sheet name="10.04.2021" sheetId="30" r:id="rId24"/>
    <sheet name="10.11.2021" sheetId="31" r:id="rId25"/>
    <sheet name="10.18.2021" sheetId="32" r:id="rId26"/>
    <sheet name="10.25.2021" sheetId="33" r:id="rId27"/>
    <sheet name="11.1.2021" sheetId="35" r:id="rId28"/>
    <sheet name="11.8.2021" sheetId="37" r:id="rId29"/>
    <sheet name="11.15.2021" sheetId="38" r:id="rId30"/>
    <sheet name="11.22.2021" sheetId="39" r:id="rId31"/>
    <sheet name="11.29.2021" sheetId="40" r:id="rId32"/>
    <sheet name="12.06.2021" sheetId="41" r:id="rId33"/>
    <sheet name="12.13.2021" sheetId="42" r:id="rId34"/>
    <sheet name="12.20.2021" sheetId="43" r:id="rId35"/>
    <sheet name="12.27.2021" sheetId="44" r:id="rId36"/>
    <sheet name="1.3.2022" sheetId="45" r:id="rId37"/>
    <sheet name="1.10.2022" sheetId="47" r:id="rId38"/>
    <sheet name="1.17.2022" sheetId="48" r:id="rId39"/>
    <sheet name="1.24.2022" sheetId="49" r:id="rId40"/>
    <sheet name="1.31.2021" sheetId="50" r:id="rId41"/>
    <sheet name="2.7.2022" sheetId="51" r:id="rId42"/>
    <sheet name="2.14.2022" sheetId="52" r:id="rId43"/>
    <sheet name="2.21.2022" sheetId="53" r:id="rId44"/>
    <sheet name="2.28.2022" sheetId="54" r:id="rId45"/>
    <sheet name="3.7.2022" sheetId="55" r:id="rId46"/>
    <sheet name="3.14.2022" sheetId="56" r:id="rId47"/>
    <sheet name="3.21.2022" sheetId="57" r:id="rId48"/>
    <sheet name="3.28.2022" sheetId="58" r:id="rId49"/>
    <sheet name="4.4.2022" sheetId="59" r:id="rId50"/>
    <sheet name="4.11.2022" sheetId="60" r:id="rId51"/>
    <sheet name="4.18.2022" sheetId="61" r:id="rId52"/>
    <sheet name="4.25.2022" sheetId="62" r:id="rId53"/>
    <sheet name="5.02.2022" sheetId="63" r:id="rId54"/>
    <sheet name="5.09.2022" sheetId="64" r:id="rId55"/>
    <sheet name="5.16.2022" sheetId="65" r:id="rId56"/>
    <sheet name="5.23.2022" sheetId="66" r:id="rId57"/>
    <sheet name="5.30.2022" sheetId="67" r:id="rId58"/>
    <sheet name="6.7.2022" sheetId="68" r:id="rId59"/>
    <sheet name="6.13.2022" sheetId="69" r:id="rId60"/>
    <sheet name="6.20.2022" sheetId="70" r:id="rId61"/>
    <sheet name="6.27.2022" sheetId="71" r:id="rId62"/>
    <sheet name="7.4.2022" sheetId="72" r:id="rId63"/>
    <sheet name="7.11.2022" sheetId="73" r:id="rId64"/>
    <sheet name="7.18.2022" sheetId="74" r:id="rId65"/>
    <sheet name="7.25.2022" sheetId="75" r:id="rId66"/>
    <sheet name="8.1.2022" sheetId="76" r:id="rId67"/>
    <sheet name="8.8.2022" sheetId="77" r:id="rId68"/>
    <sheet name="8.15.2022" sheetId="78" r:id="rId69"/>
    <sheet name="8.22.2022" sheetId="79" r:id="rId70"/>
    <sheet name="8.29.2022" sheetId="80" r:id="rId71"/>
    <sheet name="9.5.2022" sheetId="81" r:id="rId72"/>
    <sheet name="9.12.2022" sheetId="82" r:id="rId73"/>
    <sheet name="9.19.2022" sheetId="83" r:id="rId74"/>
    <sheet name="9.26.2022" sheetId="84" r:id="rId75"/>
    <sheet name="10.3.2022" sheetId="85" r:id="rId76"/>
    <sheet name="10.10.2022" sheetId="86" r:id="rId77"/>
    <sheet name="10.17.2022" sheetId="87" r:id="rId78"/>
    <sheet name="PlayersAgents" sheetId="46" r:id="rId79"/>
    <sheet name="Red Data Dump" sheetId="34" r:id="rId80"/>
    <sheet name="bets_9.20" sheetId="28" state="hidden" r:id="rId81"/>
  </sheets>
  <definedNames>
    <definedName name="_xlnm._FilterDatabase" localSheetId="63" hidden="1">'7.11.2022'!$B$4:$F$23</definedName>
    <definedName name="_xlnm._FilterDatabase" localSheetId="78" hidden="1">PlayersAgents!$BR$5:$CA$64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7" i="87" l="1"/>
  <c r="S10" i="87" s="1"/>
  <c r="S17" i="87" s="1"/>
  <c r="G43" i="86"/>
  <c r="CJ11" i="46"/>
  <c r="CJ10" i="46"/>
  <c r="CJ9" i="46"/>
  <c r="CJ8" i="46"/>
  <c r="BR21" i="46"/>
  <c r="BR23" i="46"/>
  <c r="BR38" i="46"/>
  <c r="BR40" i="46"/>
  <c r="BR29" i="46"/>
  <c r="BR53" i="46"/>
  <c r="BR55" i="46"/>
  <c r="BR58" i="46"/>
  <c r="BR61" i="46"/>
  <c r="BR31" i="46"/>
  <c r="BR52" i="46"/>
  <c r="BR44" i="46"/>
  <c r="BR43" i="46"/>
  <c r="BR64" i="46"/>
  <c r="BR63" i="46"/>
  <c r="BR54" i="46"/>
  <c r="BR45" i="46"/>
  <c r="BR51" i="46"/>
  <c r="BR25" i="46"/>
  <c r="BR62" i="46"/>
  <c r="BR48" i="46"/>
  <c r="BR59" i="46"/>
  <c r="BR57" i="46"/>
  <c r="BR60" i="46"/>
  <c r="BR34" i="46"/>
  <c r="BR47" i="46"/>
  <c r="BR50" i="46"/>
  <c r="BR41" i="46"/>
  <c r="BR39" i="46"/>
  <c r="BR49" i="46"/>
  <c r="BR42" i="46"/>
  <c r="BR46" i="46"/>
  <c r="BR14" i="46"/>
  <c r="BR56" i="46"/>
  <c r="BR30" i="46"/>
  <c r="BR35" i="46"/>
  <c r="BR36" i="46"/>
  <c r="BR33" i="46"/>
  <c r="BR37" i="46"/>
  <c r="BR26" i="46"/>
  <c r="BR17" i="46"/>
  <c r="BR27" i="46"/>
  <c r="BR12" i="46"/>
  <c r="BR19" i="46"/>
  <c r="BR15" i="46"/>
  <c r="BR18" i="46"/>
  <c r="BR28" i="46"/>
  <c r="BR24" i="46"/>
  <c r="BR20" i="46"/>
  <c r="BR11" i="46"/>
  <c r="BR13" i="46"/>
  <c r="BR32" i="46"/>
  <c r="BR16" i="46"/>
  <c r="BR22" i="46"/>
  <c r="BR7" i="46"/>
  <c r="BR10" i="46"/>
  <c r="BR9" i="46"/>
  <c r="BR6" i="46"/>
  <c r="BR8" i="46"/>
  <c r="U27" i="85"/>
  <c r="U26" i="85"/>
  <c r="U25" i="85"/>
  <c r="G43" i="84"/>
  <c r="G45" i="84"/>
  <c r="R48" i="83"/>
  <c r="R47" i="83"/>
  <c r="O49" i="83"/>
  <c r="O48" i="83"/>
  <c r="O47" i="83"/>
  <c r="N44" i="83"/>
  <c r="N43" i="83"/>
  <c r="N42" i="83"/>
  <c r="G40" i="83"/>
  <c r="W10" i="83"/>
  <c r="W9" i="83"/>
  <c r="T4" i="81"/>
  <c r="N23" i="80"/>
  <c r="Q19" i="80"/>
  <c r="Q20" i="80"/>
  <c r="C12" i="46"/>
  <c r="D12" i="46"/>
  <c r="C13" i="46"/>
  <c r="D13" i="46"/>
  <c r="C14" i="46"/>
  <c r="D14" i="46"/>
  <c r="C15" i="46"/>
  <c r="D15" i="46"/>
  <c r="C16" i="46"/>
  <c r="D16" i="46"/>
  <c r="C17" i="46"/>
  <c r="D17" i="46"/>
  <c r="BG5" i="46"/>
  <c r="BG4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C10" i="46"/>
  <c r="D10" i="46"/>
  <c r="C11" i="46"/>
  <c r="D11" i="46"/>
  <c r="C18" i="46"/>
  <c r="D18" i="46"/>
  <c r="C19" i="46"/>
  <c r="D19" i="46"/>
  <c r="C20" i="46"/>
  <c r="D20" i="46"/>
  <c r="C21" i="46"/>
  <c r="D21" i="46"/>
  <c r="C22" i="46"/>
  <c r="D22" i="46"/>
  <c r="C23" i="46"/>
  <c r="D23" i="46"/>
  <c r="C24" i="46"/>
  <c r="D24" i="46"/>
  <c r="C25" i="46"/>
  <c r="D25" i="46"/>
  <c r="C26" i="46"/>
  <c r="D26" i="46"/>
  <c r="C27" i="46"/>
  <c r="D27" i="46"/>
  <c r="C28" i="46"/>
  <c r="D28" i="46"/>
  <c r="C29" i="46"/>
  <c r="D29" i="46"/>
  <c r="C30" i="46"/>
  <c r="D30" i="46"/>
  <c r="C31" i="46"/>
  <c r="D31" i="46"/>
  <c r="C32" i="46"/>
  <c r="D32" i="46"/>
  <c r="C33" i="46"/>
  <c r="D33" i="46"/>
  <c r="C34" i="46"/>
  <c r="D34" i="46"/>
  <c r="C35" i="46"/>
  <c r="D35" i="46"/>
  <c r="C36" i="46"/>
  <c r="D36" i="46"/>
  <c r="C37" i="46"/>
  <c r="D37" i="46"/>
  <c r="C38" i="46"/>
  <c r="D38" i="46"/>
  <c r="C39" i="46"/>
  <c r="D39" i="46"/>
  <c r="I25" i="79"/>
  <c r="I24" i="79"/>
  <c r="I22" i="79"/>
  <c r="I27" i="79"/>
  <c r="K22" i="79" s="1"/>
  <c r="H21" i="75"/>
  <c r="H20" i="75"/>
  <c r="H19" i="75"/>
  <c r="I21" i="73"/>
  <c r="K20" i="73" s="1"/>
  <c r="I25" i="69"/>
  <c r="I24" i="69"/>
  <c r="I23" i="69"/>
  <c r="I26" i="69" s="1"/>
  <c r="K23" i="69" s="1"/>
  <c r="I23" i="67"/>
  <c r="I22" i="67"/>
  <c r="I25" i="67"/>
  <c r="K22" i="67" s="1"/>
  <c r="K21" i="63"/>
  <c r="I24" i="63"/>
  <c r="I23" i="63"/>
  <c r="I22" i="63"/>
  <c r="I21" i="63"/>
  <c r="L46" i="35"/>
  <c r="K41" i="35"/>
  <c r="E11" i="46"/>
  <c r="F11" i="46"/>
  <c r="G11" i="46"/>
  <c r="H11" i="46"/>
  <c r="K11" i="46"/>
  <c r="E12" i="46"/>
  <c r="F12" i="46"/>
  <c r="G12" i="46"/>
  <c r="H12" i="46"/>
  <c r="K12" i="46"/>
  <c r="E13" i="46"/>
  <c r="F13" i="46"/>
  <c r="G13" i="46"/>
  <c r="H13" i="46"/>
  <c r="K13" i="46"/>
  <c r="E14" i="46"/>
  <c r="F14" i="46"/>
  <c r="G14" i="46"/>
  <c r="H14" i="46"/>
  <c r="K14" i="46"/>
  <c r="E15" i="46"/>
  <c r="F15" i="46"/>
  <c r="G15" i="46"/>
  <c r="H15" i="46"/>
  <c r="K15" i="46"/>
  <c r="E16" i="46"/>
  <c r="F16" i="46"/>
  <c r="G16" i="46"/>
  <c r="H16" i="46"/>
  <c r="K16" i="46"/>
  <c r="E17" i="46"/>
  <c r="F17" i="46"/>
  <c r="G17" i="46"/>
  <c r="H17" i="46"/>
  <c r="K17" i="46"/>
  <c r="E18" i="46"/>
  <c r="F18" i="46"/>
  <c r="G18" i="46"/>
  <c r="H18" i="46"/>
  <c r="K18" i="46"/>
  <c r="E19" i="46"/>
  <c r="F19" i="46"/>
  <c r="G19" i="46"/>
  <c r="H19" i="46"/>
  <c r="K19" i="46"/>
  <c r="E20" i="46"/>
  <c r="F20" i="46"/>
  <c r="G20" i="46"/>
  <c r="H20" i="46"/>
  <c r="K20" i="46"/>
  <c r="E21" i="46"/>
  <c r="F21" i="46"/>
  <c r="G21" i="46"/>
  <c r="H21" i="46"/>
  <c r="K21" i="46"/>
  <c r="E22" i="46"/>
  <c r="F22" i="46"/>
  <c r="G22" i="46"/>
  <c r="H22" i="46"/>
  <c r="K22" i="46"/>
  <c r="E23" i="46"/>
  <c r="F23" i="46"/>
  <c r="G23" i="46"/>
  <c r="H23" i="46"/>
  <c r="K23" i="46"/>
  <c r="E24" i="46"/>
  <c r="F24" i="46"/>
  <c r="G24" i="46"/>
  <c r="H24" i="46"/>
  <c r="K24" i="46"/>
  <c r="E25" i="46"/>
  <c r="F25" i="46"/>
  <c r="G25" i="46"/>
  <c r="H25" i="46"/>
  <c r="K25" i="46"/>
  <c r="E26" i="46"/>
  <c r="F26" i="46"/>
  <c r="G26" i="46"/>
  <c r="H26" i="46"/>
  <c r="K26" i="46"/>
  <c r="E27" i="46"/>
  <c r="F27" i="46"/>
  <c r="G27" i="46"/>
  <c r="H27" i="46"/>
  <c r="K27" i="46"/>
  <c r="E28" i="46"/>
  <c r="F28" i="46"/>
  <c r="G28" i="46"/>
  <c r="H28" i="46"/>
  <c r="K28" i="46"/>
  <c r="E29" i="46"/>
  <c r="F29" i="46"/>
  <c r="G29" i="46"/>
  <c r="H29" i="46"/>
  <c r="K29" i="46"/>
  <c r="E30" i="46"/>
  <c r="F30" i="46"/>
  <c r="G30" i="46"/>
  <c r="H30" i="46"/>
  <c r="K30" i="46"/>
  <c r="E31" i="46"/>
  <c r="F31" i="46"/>
  <c r="G31" i="46"/>
  <c r="H31" i="46"/>
  <c r="K31" i="46"/>
  <c r="E32" i="46"/>
  <c r="F32" i="46"/>
  <c r="G32" i="46"/>
  <c r="H32" i="46"/>
  <c r="K32" i="46"/>
  <c r="E33" i="46"/>
  <c r="F33" i="46"/>
  <c r="G33" i="46"/>
  <c r="H33" i="46"/>
  <c r="K33" i="46"/>
  <c r="E34" i="46"/>
  <c r="F34" i="46"/>
  <c r="G34" i="46"/>
  <c r="H34" i="46"/>
  <c r="K34" i="46"/>
  <c r="E35" i="46"/>
  <c r="F35" i="46"/>
  <c r="G35" i="46"/>
  <c r="H35" i="46"/>
  <c r="K35" i="46"/>
  <c r="E36" i="46"/>
  <c r="F36" i="46"/>
  <c r="G36" i="46"/>
  <c r="H36" i="46"/>
  <c r="K36" i="46"/>
  <c r="E37" i="46"/>
  <c r="F37" i="46"/>
  <c r="G37" i="46"/>
  <c r="H37" i="46"/>
  <c r="K37" i="46"/>
  <c r="E38" i="46"/>
  <c r="F38" i="46"/>
  <c r="K38" i="46"/>
  <c r="E39" i="46"/>
  <c r="F39" i="46"/>
  <c r="G39" i="46"/>
  <c r="H39" i="46"/>
  <c r="K39" i="46"/>
  <c r="C40" i="46"/>
  <c r="D40" i="46"/>
  <c r="E40" i="46"/>
  <c r="F40" i="46"/>
  <c r="G40" i="46"/>
  <c r="H40" i="46"/>
  <c r="K40" i="46"/>
  <c r="C41" i="46"/>
  <c r="D41" i="46"/>
  <c r="E41" i="46"/>
  <c r="F41" i="46"/>
  <c r="G41" i="46"/>
  <c r="H41" i="46"/>
  <c r="K41" i="46"/>
  <c r="C42" i="46"/>
  <c r="D42" i="46"/>
  <c r="E42" i="46"/>
  <c r="F42" i="46"/>
  <c r="G42" i="46"/>
  <c r="H42" i="46"/>
  <c r="K42" i="46"/>
  <c r="C43" i="46"/>
  <c r="D43" i="46"/>
  <c r="E43" i="46"/>
  <c r="F43" i="46"/>
  <c r="G43" i="46"/>
  <c r="H43" i="46"/>
  <c r="K43" i="46"/>
  <c r="C44" i="46"/>
  <c r="D44" i="46"/>
  <c r="E44" i="46"/>
  <c r="F44" i="46"/>
  <c r="G44" i="46"/>
  <c r="H44" i="46"/>
  <c r="K44" i="46"/>
  <c r="C45" i="46"/>
  <c r="D45" i="46"/>
  <c r="E45" i="46"/>
  <c r="F45" i="46"/>
  <c r="G45" i="46"/>
  <c r="H45" i="46"/>
  <c r="K45" i="46"/>
  <c r="C46" i="46"/>
  <c r="D46" i="46"/>
  <c r="E46" i="46"/>
  <c r="F46" i="46"/>
  <c r="G46" i="46"/>
  <c r="H46" i="46"/>
  <c r="K46" i="46"/>
  <c r="C47" i="46"/>
  <c r="D47" i="46"/>
  <c r="E47" i="46"/>
  <c r="F47" i="46"/>
  <c r="G47" i="46"/>
  <c r="H47" i="46"/>
  <c r="K47" i="46"/>
  <c r="C48" i="46"/>
  <c r="D48" i="46"/>
  <c r="E48" i="46"/>
  <c r="F48" i="46"/>
  <c r="G48" i="46"/>
  <c r="H48" i="46"/>
  <c r="K48" i="46"/>
  <c r="C49" i="46"/>
  <c r="D49" i="46"/>
  <c r="E49" i="46"/>
  <c r="F49" i="46"/>
  <c r="G49" i="46"/>
  <c r="H49" i="46"/>
  <c r="K49" i="46"/>
  <c r="C50" i="46"/>
  <c r="D50" i="46"/>
  <c r="E50" i="46"/>
  <c r="F50" i="46"/>
  <c r="G50" i="46"/>
  <c r="H50" i="46"/>
  <c r="K50" i="46"/>
  <c r="C51" i="46"/>
  <c r="D51" i="46"/>
  <c r="E51" i="46"/>
  <c r="F51" i="46"/>
  <c r="G51" i="46"/>
  <c r="H51" i="46"/>
  <c r="K51" i="46"/>
  <c r="C52" i="46"/>
  <c r="D52" i="46"/>
  <c r="E52" i="46"/>
  <c r="F52" i="46"/>
  <c r="G52" i="46"/>
  <c r="H52" i="46"/>
  <c r="K52" i="46"/>
  <c r="C53" i="46"/>
  <c r="D53" i="46"/>
  <c r="E53" i="46"/>
  <c r="F53" i="46"/>
  <c r="G53" i="46"/>
  <c r="H53" i="46"/>
  <c r="K53" i="46"/>
  <c r="C54" i="46"/>
  <c r="D54" i="46"/>
  <c r="E54" i="46"/>
  <c r="F54" i="46"/>
  <c r="G54" i="46"/>
  <c r="H54" i="46"/>
  <c r="K54" i="46"/>
  <c r="C55" i="46"/>
  <c r="D55" i="46"/>
  <c r="E55" i="46"/>
  <c r="F55" i="46"/>
  <c r="G55" i="46"/>
  <c r="H55" i="46"/>
  <c r="K55" i="46"/>
  <c r="C56" i="46"/>
  <c r="D56" i="46"/>
  <c r="E56" i="46"/>
  <c r="F56" i="46"/>
  <c r="G56" i="46"/>
  <c r="H56" i="46"/>
  <c r="K56" i="46"/>
  <c r="C57" i="46"/>
  <c r="D57" i="46"/>
  <c r="E57" i="46"/>
  <c r="F57" i="46"/>
  <c r="G57" i="46"/>
  <c r="H57" i="46"/>
  <c r="K57" i="46"/>
  <c r="C58" i="46"/>
  <c r="D58" i="46"/>
  <c r="E58" i="46"/>
  <c r="F58" i="46"/>
  <c r="G58" i="46"/>
  <c r="H58" i="46"/>
  <c r="K58" i="46"/>
  <c r="C59" i="46"/>
  <c r="D59" i="46"/>
  <c r="E59" i="46"/>
  <c r="F59" i="46"/>
  <c r="G59" i="46"/>
  <c r="H59" i="46"/>
  <c r="K59" i="46"/>
  <c r="C60" i="46"/>
  <c r="D60" i="46"/>
  <c r="E60" i="46"/>
  <c r="F60" i="46"/>
  <c r="G60" i="46"/>
  <c r="H60" i="46"/>
  <c r="K60" i="46"/>
  <c r="C61" i="46"/>
  <c r="D61" i="46"/>
  <c r="E61" i="46"/>
  <c r="F61" i="46"/>
  <c r="G61" i="46"/>
  <c r="H61" i="46"/>
  <c r="K61" i="46"/>
  <c r="C62" i="46"/>
  <c r="D62" i="46"/>
  <c r="E62" i="46"/>
  <c r="F62" i="46"/>
  <c r="G62" i="46"/>
  <c r="H62" i="46"/>
  <c r="K62" i="46"/>
  <c r="C63" i="46"/>
  <c r="D63" i="46"/>
  <c r="E63" i="46"/>
  <c r="F63" i="46"/>
  <c r="G63" i="46"/>
  <c r="H63" i="46"/>
  <c r="K63" i="46"/>
  <c r="C64" i="46"/>
  <c r="D64" i="46"/>
  <c r="E64" i="46"/>
  <c r="F64" i="46"/>
  <c r="G64" i="46"/>
  <c r="H64" i="46"/>
  <c r="K64" i="46"/>
  <c r="C65" i="46"/>
  <c r="D65" i="46"/>
  <c r="E65" i="46"/>
  <c r="F65" i="46"/>
  <c r="G65" i="46"/>
  <c r="H65" i="46"/>
  <c r="K65" i="46"/>
  <c r="C66" i="46"/>
  <c r="D66" i="46"/>
  <c r="E66" i="46"/>
  <c r="F66" i="46"/>
  <c r="G66" i="46"/>
  <c r="H66" i="46"/>
  <c r="K66" i="46"/>
  <c r="C67" i="46"/>
  <c r="D67" i="46"/>
  <c r="E67" i="46"/>
  <c r="F67" i="46"/>
  <c r="G67" i="46"/>
  <c r="H67" i="46"/>
  <c r="K67" i="46"/>
  <c r="C68" i="46"/>
  <c r="D68" i="46"/>
  <c r="E68" i="46"/>
  <c r="F68" i="46"/>
  <c r="G68" i="46"/>
  <c r="H68" i="46"/>
  <c r="K68" i="46"/>
  <c r="C69" i="46"/>
  <c r="D69" i="46"/>
  <c r="E69" i="46"/>
  <c r="F69" i="46"/>
  <c r="G69" i="46"/>
  <c r="H69" i="46"/>
  <c r="K69" i="46"/>
  <c r="E10" i="46"/>
  <c r="F10" i="46"/>
  <c r="G10" i="46"/>
  <c r="H10" i="46"/>
  <c r="K10" i="46"/>
  <c r="P45" i="42"/>
  <c r="N44" i="42"/>
  <c r="K45" i="42"/>
  <c r="N43" i="33"/>
  <c r="T29" i="43"/>
  <c r="S20" i="43"/>
  <c r="S19" i="43" s="1"/>
  <c r="P32" i="42"/>
  <c r="I35" i="42"/>
  <c r="I34" i="42"/>
  <c r="I33" i="42"/>
  <c r="I32" i="42"/>
  <c r="I31" i="42"/>
  <c r="I30" i="42"/>
  <c r="I29" i="42"/>
  <c r="K30" i="42" s="1"/>
  <c r="I28" i="42"/>
  <c r="I27" i="42"/>
  <c r="I26" i="42"/>
  <c r="I34" i="41"/>
  <c r="I33" i="41"/>
  <c r="I32" i="41"/>
  <c r="I31" i="41"/>
  <c r="I30" i="41"/>
  <c r="I29" i="41"/>
  <c r="I28" i="41"/>
  <c r="I27" i="41"/>
  <c r="I26" i="41"/>
  <c r="I25" i="41"/>
  <c r="L28" i="40"/>
  <c r="L31" i="38"/>
  <c r="I30" i="40"/>
  <c r="I29" i="40"/>
  <c r="I28" i="40"/>
  <c r="I27" i="40"/>
  <c r="I26" i="40"/>
  <c r="I25" i="40"/>
  <c r="I24" i="40"/>
  <c r="I23" i="40"/>
  <c r="I22" i="40"/>
  <c r="L35" i="40"/>
  <c r="I35" i="39"/>
  <c r="I34" i="39"/>
  <c r="I33" i="39"/>
  <c r="I32" i="39"/>
  <c r="I31" i="39"/>
  <c r="I30" i="39"/>
  <c r="I29" i="39"/>
  <c r="I28" i="39"/>
  <c r="I27" i="39"/>
  <c r="I26" i="39"/>
  <c r="I34" i="38"/>
  <c r="I33" i="38"/>
  <c r="I32" i="38"/>
  <c r="I31" i="38"/>
  <c r="I30" i="38"/>
  <c r="I29" i="38"/>
  <c r="I28" i="38"/>
  <c r="I27" i="38"/>
  <c r="I26" i="38"/>
  <c r="I25" i="38"/>
  <c r="R28" i="37"/>
  <c r="R21" i="37"/>
  <c r="I36" i="37"/>
  <c r="I35" i="37"/>
  <c r="I34" i="37"/>
  <c r="I33" i="37"/>
  <c r="I32" i="37"/>
  <c r="I31" i="37"/>
  <c r="I30" i="37"/>
  <c r="I29" i="37"/>
  <c r="I28" i="37"/>
  <c r="I27" i="37"/>
  <c r="I26" i="37"/>
  <c r="S39" i="35"/>
  <c r="S49" i="35"/>
  <c r="L32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P28" i="33"/>
  <c r="O20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31" i="33"/>
  <c r="N78" i="32"/>
  <c r="M38" i="32"/>
  <c r="M37" i="32"/>
  <c r="I39" i="32"/>
  <c r="I34" i="32"/>
  <c r="I35" i="32"/>
  <c r="I36" i="32"/>
  <c r="I37" i="32"/>
  <c r="I38" i="32"/>
  <c r="I40" i="32"/>
  <c r="I41" i="32"/>
  <c r="I42" i="32"/>
  <c r="I43" i="32"/>
  <c r="I44" i="32"/>
  <c r="I45" i="32"/>
  <c r="I46" i="32"/>
  <c r="I33" i="32"/>
  <c r="J24" i="30"/>
  <c r="P27" i="30"/>
  <c r="J22" i="30"/>
  <c r="O30" i="29"/>
  <c r="O29" i="29"/>
  <c r="O28" i="29"/>
  <c r="J36" i="29"/>
  <c r="O39" i="29"/>
  <c r="H36" i="29"/>
  <c r="N26" i="29"/>
  <c r="N25" i="29"/>
  <c r="I27" i="29"/>
  <c r="M24" i="29" s="1"/>
  <c r="N24" i="29" s="1"/>
  <c r="J31" i="27"/>
  <c r="G48" i="28"/>
  <c r="G47" i="28"/>
  <c r="G46" i="28"/>
  <c r="G45" i="28"/>
  <c r="G50" i="28"/>
  <c r="G51" i="28"/>
  <c r="G57" i="28"/>
  <c r="G58" i="28"/>
  <c r="G59" i="28"/>
  <c r="G56" i="28"/>
  <c r="G52" i="28"/>
  <c r="G53" i="28"/>
  <c r="G41" i="28"/>
  <c r="G42" i="28"/>
  <c r="G43" i="28"/>
  <c r="G40" i="28"/>
  <c r="L12" i="28"/>
  <c r="G54" i="28"/>
  <c r="G32" i="28"/>
  <c r="G33" i="28"/>
  <c r="G34" i="28"/>
  <c r="L10" i="28" s="1"/>
  <c r="G35" i="28"/>
  <c r="L11" i="28" s="1"/>
  <c r="G31" i="28"/>
  <c r="G13" i="28"/>
  <c r="G14" i="28"/>
  <c r="G15" i="28"/>
  <c r="G16" i="28"/>
  <c r="L9" i="28" s="1"/>
  <c r="G12" i="28"/>
  <c r="D4" i="46" l="1"/>
  <c r="D5" i="46"/>
  <c r="D3" i="46"/>
  <c r="D6" i="46" s="1"/>
  <c r="M33" i="37"/>
  <c r="K29" i="33"/>
  <c r="L26" i="35" s="1"/>
  <c r="L24" i="37" s="1"/>
  <c r="M23" i="38" s="1"/>
  <c r="L24" i="39" s="1"/>
  <c r="K20" i="40" s="1"/>
  <c r="L24" i="41" s="1"/>
  <c r="L24" i="42" s="1"/>
  <c r="L49" i="32"/>
  <c r="M23" i="29"/>
  <c r="N23" i="29" s="1"/>
  <c r="L7" i="28"/>
  <c r="L5" i="28"/>
  <c r="L6" i="28"/>
  <c r="L8" i="28"/>
  <c r="L4" i="28"/>
  <c r="L13" i="28" l="1"/>
  <c r="K24" i="25" l="1"/>
  <c r="I25" i="25"/>
  <c r="I24" i="25"/>
  <c r="H24" i="25"/>
  <c r="H23" i="25"/>
  <c r="O19" i="21"/>
  <c r="L6" i="20"/>
  <c r="L7" i="20"/>
  <c r="L8" i="20"/>
  <c r="L5" i="20"/>
  <c r="K5" i="20"/>
  <c r="K6" i="20"/>
  <c r="K7" i="20"/>
  <c r="K8" i="20"/>
  <c r="K9" i="20" s="1"/>
  <c r="H6" i="20"/>
  <c r="H7" i="20"/>
  <c r="H8" i="20"/>
  <c r="H9" i="20"/>
  <c r="H10" i="20"/>
  <c r="H11" i="20"/>
  <c r="H12" i="20"/>
  <c r="H13" i="20"/>
  <c r="H14" i="20"/>
  <c r="H15" i="20"/>
  <c r="H16" i="20"/>
  <c r="H17" i="20"/>
  <c r="H5" i="20"/>
  <c r="M25" i="19"/>
  <c r="M24" i="19"/>
  <c r="I15" i="19"/>
  <c r="I14" i="19"/>
  <c r="I13" i="19"/>
  <c r="I12" i="19"/>
  <c r="I11" i="19"/>
  <c r="I10" i="19"/>
  <c r="I9" i="19"/>
  <c r="L8" i="19"/>
  <c r="I8" i="19"/>
  <c r="I7" i="19"/>
  <c r="I6" i="19"/>
  <c r="L5" i="19"/>
  <c r="I5" i="19"/>
  <c r="L6" i="19" s="1"/>
  <c r="I4" i="19"/>
  <c r="L8" i="17"/>
  <c r="L5" i="17"/>
  <c r="I5" i="17"/>
  <c r="I6" i="17"/>
  <c r="I7" i="17"/>
  <c r="I8" i="17"/>
  <c r="I9" i="17"/>
  <c r="I10" i="17"/>
  <c r="I11" i="17"/>
  <c r="I12" i="17"/>
  <c r="I13" i="17"/>
  <c r="I14" i="17"/>
  <c r="I15" i="17"/>
  <c r="I4" i="17"/>
  <c r="L6" i="17" s="1"/>
  <c r="AF5" i="15"/>
  <c r="N8" i="15"/>
  <c r="O11" i="15"/>
  <c r="K5" i="15"/>
  <c r="L23" i="13"/>
  <c r="N26" i="13" s="1"/>
  <c r="N27" i="13" s="1"/>
  <c r="O27" i="13" s="1"/>
  <c r="O28" i="13" s="1"/>
  <c r="C29" i="12"/>
  <c r="J21" i="10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5" i="3"/>
  <c r="L7" i="19" l="1"/>
  <c r="L9" i="19" s="1"/>
  <c r="L7" i="17"/>
  <c r="L9" i="17" s="1"/>
  <c r="M8" i="19" l="1"/>
  <c r="M7" i="19"/>
  <c r="M5" i="19"/>
  <c r="M6" i="19"/>
  <c r="M6" i="17"/>
  <c r="M8" i="17"/>
  <c r="M5" i="17"/>
  <c r="M7" i="17"/>
</calcChain>
</file>

<file path=xl/sharedStrings.xml><?xml version="1.0" encoding="utf-8"?>
<sst xmlns="http://schemas.openxmlformats.org/spreadsheetml/2006/main" count="10466" uniqueCount="565">
  <si>
    <t>Agent</t>
  </si>
  <si>
    <t>Action</t>
  </si>
  <si>
    <t>Player</t>
  </si>
  <si>
    <t>Name</t>
  </si>
  <si>
    <t>Amount</t>
  </si>
  <si>
    <t>Dro</t>
  </si>
  <si>
    <t>Request</t>
  </si>
  <si>
    <t>pyr111</t>
  </si>
  <si>
    <t>David Haller</t>
  </si>
  <si>
    <t>pyr121</t>
  </si>
  <si>
    <t>Rob Rojas</t>
  </si>
  <si>
    <t>pyr126</t>
  </si>
  <si>
    <t>Sergio</t>
  </si>
  <si>
    <t>pyr131</t>
  </si>
  <si>
    <t>Alejandro</t>
  </si>
  <si>
    <t>pyr139</t>
  </si>
  <si>
    <t>Howar</t>
  </si>
  <si>
    <t>Gabe</t>
  </si>
  <si>
    <t>Pay</t>
  </si>
  <si>
    <t>pyr134</t>
  </si>
  <si>
    <t>Kevin</t>
  </si>
  <si>
    <t>pyr104</t>
  </si>
  <si>
    <t>Eric</t>
  </si>
  <si>
    <t>pyr115</t>
  </si>
  <si>
    <t>Tim</t>
  </si>
  <si>
    <t>pyr136</t>
  </si>
  <si>
    <t>Mark</t>
  </si>
  <si>
    <t>Orso</t>
  </si>
  <si>
    <t>pyr109</t>
  </si>
  <si>
    <t>Kevin Victory</t>
  </si>
  <si>
    <t>pyr107</t>
  </si>
  <si>
    <t>Christian</t>
  </si>
  <si>
    <t>pyr114</t>
  </si>
  <si>
    <t>Kyle Beta</t>
  </si>
  <si>
    <t>pyr118</t>
  </si>
  <si>
    <t>Christian #1</t>
  </si>
  <si>
    <t>pyr123</t>
  </si>
  <si>
    <t>Christian #2</t>
  </si>
  <si>
    <t>pyr132</t>
  </si>
  <si>
    <t>Gz</t>
  </si>
  <si>
    <t>Trev</t>
  </si>
  <si>
    <t>pyr117</t>
  </si>
  <si>
    <t>Peyton Shapiro</t>
  </si>
  <si>
    <t>pyr103</t>
  </si>
  <si>
    <t>Jalen</t>
  </si>
  <si>
    <t>pyr105</t>
  </si>
  <si>
    <t>Mike Maxwell</t>
  </si>
  <si>
    <t>pyr125</t>
  </si>
  <si>
    <t>Casey Grieves</t>
  </si>
  <si>
    <t>pyr133</t>
  </si>
  <si>
    <t>ben</t>
  </si>
  <si>
    <t>pyr108</t>
  </si>
  <si>
    <t>Andres Rojas</t>
  </si>
  <si>
    <t>pyr122</t>
  </si>
  <si>
    <t>Andres Ruenes</t>
  </si>
  <si>
    <t>pyr102</t>
  </si>
  <si>
    <t>James Mendel</t>
  </si>
  <si>
    <t>pyr119</t>
  </si>
  <si>
    <t>Zane</t>
  </si>
  <si>
    <t>pyr140</t>
  </si>
  <si>
    <t>Danny</t>
  </si>
  <si>
    <t>pyr106</t>
  </si>
  <si>
    <t>Tommy</t>
  </si>
  <si>
    <t>pyr127</t>
  </si>
  <si>
    <t>Will R</t>
  </si>
  <si>
    <t>pyr129</t>
  </si>
  <si>
    <t>Wagner</t>
  </si>
  <si>
    <t>pyr137</t>
  </si>
  <si>
    <t>Zach gartner</t>
  </si>
  <si>
    <t>pyr110</t>
  </si>
  <si>
    <t>Brando</t>
  </si>
  <si>
    <t>pyr128</t>
  </si>
  <si>
    <t>   </t>
  </si>
  <si>
    <t>  Num. Players</t>
  </si>
  <si>
    <t>  Amount</t>
  </si>
  <si>
    <t>  Final Balance</t>
  </si>
  <si>
    <t>Total</t>
  </si>
  <si>
    <t>Pays</t>
  </si>
  <si>
    <t>Agent	Action	Player	Name	Amount</t>
  </si>
  <si>
    <t>pyr135</t>
  </si>
  <si>
    <t>Alex</t>
  </si>
  <si>
    <t>pyr130</t>
  </si>
  <si>
    <t>Christian # 3</t>
  </si>
  <si>
    <t>A2</t>
  </si>
  <si>
    <t>Final</t>
  </si>
  <si>
    <t>Ending</t>
  </si>
  <si>
    <t>Trev -&gt; 237 -&gt; Orso</t>
  </si>
  <si>
    <t>Dro -&gt; 237 Orso</t>
  </si>
  <si>
    <t>Gabe -&gt; 67 -&gt; Orso</t>
  </si>
  <si>
    <t>Trev -&gt; Orso</t>
  </si>
  <si>
    <t>Dro -&gt; Orso</t>
  </si>
  <si>
    <t>Gabe -&gt; Orso</t>
  </si>
  <si>
    <t>Gabe	Pay	pyr104	Eric	15</t>
  </si>
  <si>
    <t>Gabe	Pay	pyr115	Tim	3</t>
  </si>
  <si>
    <t>Gabe	Request	pyr102	James Mendel	37</t>
  </si>
  <si>
    <t>Gabe	Request	pyr136	Mark	53</t>
  </si>
  <si>
    <t>Gabe	Request	pyr137	Zach gartner	150</t>
  </si>
  <si>
    <t>Orso	Pay	pyr107	Christian	326</t>
  </si>
  <si>
    <t>Orso	Pay	pyr130	Christian # 3	948</t>
  </si>
  <si>
    <t>Orso	Request	pyr114	Kyle Beta	13</t>
  </si>
  <si>
    <t>Orso	Request	pyr118	Christian #1	10</t>
  </si>
  <si>
    <t>Orso	Request	pyr123	Christian #2	201</t>
  </si>
  <si>
    <t>Orso	Request	pyr128	Gz	700</t>
  </si>
  <si>
    <t>Trev	Request	pyr125	Casey Grieves	2</t>
  </si>
  <si>
    <t>Pat</t>
  </si>
  <si>
    <t>Christian #4</t>
  </si>
  <si>
    <t>Orso -&gt; Trev</t>
  </si>
  <si>
    <t>Orso -&gt; Dro</t>
  </si>
  <si>
    <t>Orso -&gt; Gabe</t>
  </si>
  <si>
    <t>pyr138</t>
  </si>
  <si>
    <t>Kaz</t>
  </si>
  <si>
    <t>pyr113</t>
  </si>
  <si>
    <t>Xavi Marcos</t>
  </si>
  <si>
    <t>pyr116</t>
  </si>
  <si>
    <t>stew</t>
  </si>
  <si>
    <t>Andres</t>
  </si>
  <si>
    <t>pyr120</t>
  </si>
  <si>
    <t>Garett Pool</t>
  </si>
  <si>
    <t>Siva</t>
  </si>
  <si>
    <t>Sly</t>
  </si>
  <si>
    <t>pyr124</t>
  </si>
  <si>
    <t>Andres Cartaya</t>
  </si>
  <si>
    <t>Justin</t>
  </si>
  <si>
    <t>Christian #5</t>
  </si>
  <si>
    <t>Howard</t>
  </si>
  <si>
    <t>Bradley</t>
  </si>
  <si>
    <t>pyr142</t>
  </si>
  <si>
    <t>Stephen Harrison</t>
  </si>
  <si>
    <t>pyr143</t>
  </si>
  <si>
    <t>Jaime</t>
  </si>
  <si>
    <t>pyr141</t>
  </si>
  <si>
    <t>Luc</t>
  </si>
  <si>
    <t>pyr144</t>
  </si>
  <si>
    <t>logan</t>
  </si>
  <si>
    <t>o</t>
  </si>
  <si>
    <t>Ticket #: 162217739</t>
  </si>
  <si>
    <t>NFL</t>
  </si>
  <si>
    <t>STRAIGHT BET</t>
  </si>
  <si>
    <t>[1298] 1H PACKERS (GB) -7-110</t>
  </si>
  <si>
    <t>110 / 100</t>
  </si>
  <si>
    <t>LOSE</t>
  </si>
  <si>
    <t>Ticket #: 162335472</t>
  </si>
  <si>
    <t>MLB</t>
  </si>
  <si>
    <t>PARLAY (2 TEAMS)</t>
  </si>
  <si>
    <t>[953] DODGERS (LAD) -1½-160</t>
  </si>
  <si>
    <t>( M SCHERZER -R / K FREELAND -L )</t>
  </si>
  <si>
    <t>[1956] 1H DIAMONDBACKS (ARZ) +170</t>
  </si>
  <si>
    <t>( C MORTON -R / M BUMGARNER -L )</t>
  </si>
  <si>
    <t>50 / 169</t>
  </si>
  <si>
    <t>PEND</t>
  </si>
  <si>
    <t>Ticket #: 162367933</t>
  </si>
  <si>
    <t>[5301] 3Q PANTHERS (CAR) o7½-120</t>
  </si>
  <si>
    <t>252 / 210</t>
  </si>
  <si>
    <t>Ticket #: 162337575</t>
  </si>
  <si>
    <t>RBL</t>
  </si>
  <si>
    <t>Prop Bet</t>
  </si>
  <si>
    <t>Carolina Panthers vrs Houston Texans</t>
  </si>
  <si>
    <t>First Touchdown Scorer - Christian McCaffrey</t>
  </si>
  <si>
    <t>31 / 100</t>
  </si>
  <si>
    <t>Ticket #: 162337635</t>
  </si>
  <si>
    <t>40 / 130</t>
  </si>
  <si>
    <t>CASINO</t>
  </si>
  <si>
    <t>Blackjack Surrender</t>
  </si>
  <si>
    <t>Ticket #: 162382188</t>
  </si>
  <si>
    <t>[902] 1-CUBS (CHC) GM-1 +128</t>
  </si>
  <si>
    <t>( ACTION )</t>
  </si>
  <si>
    <t>20 / 25</t>
  </si>
  <si>
    <t>Ticket #: 162383662</t>
  </si>
  <si>
    <t>[5901041] NOLAN ARENADO (STL) PK+105</t>
  </si>
  <si>
    <t>( J HAPP -L / J STEELE -L )</t>
  </si>
  <si>
    <t>50 / 52</t>
  </si>
  <si>
    <t>WIN</t>
  </si>
  <si>
    <t>Ticket #: 162383710</t>
  </si>
  <si>
    <t>[901] 1-CARDINALS (STL) GM-1 o8½-110</t>
  </si>
  <si>
    <t>275 / 250</t>
  </si>
  <si>
    <t>Ticket #: 162387931</t>
  </si>
  <si>
    <t>[901] 1-CARDINALS (STL) GM-1 o8½-115</t>
  </si>
  <si>
    <t>50 / 43</t>
  </si>
  <si>
    <t>Ticket #: 162397032</t>
  </si>
  <si>
    <t>CFB</t>
  </si>
  <si>
    <t>[307] WAKE FOREST +3½-115</t>
  </si>
  <si>
    <t>403 / 350</t>
  </si>
  <si>
    <t>Ticket #: 162446232</t>
  </si>
  <si>
    <t>[334] ARMY -7½-110</t>
  </si>
  <si>
    <t>Ticket #: 162445652</t>
  </si>
  <si>
    <t>@ SOLDIER FIELD - CHICAGO, IL</t>
  </si>
  <si>
    <t>[318] WISCONSIN -6½-105</t>
  </si>
  <si>
    <t>263 / 250</t>
  </si>
  <si>
    <t>Ticket #: 162472645</t>
  </si>
  <si>
    <t>[2318] 2H WISCONSIN -2½-115</t>
  </si>
  <si>
    <t>230 / 200</t>
  </si>
  <si>
    <t>Ticket #: 162502896</t>
  </si>
  <si>
    <t>[348] GEORGIA TECH +14-110</t>
  </si>
  <si>
    <t>55 / 50</t>
  </si>
  <si>
    <t>Ticket #: 162243894</t>
  </si>
  <si>
    <t>3T SUPER TEASER TIES LOSE</t>
  </si>
  <si>
    <t>[360] BYU -13-110 (B+10)</t>
  </si>
  <si>
    <t>[361] COLORADO o34½-110 (B+10)</t>
  </si>
  <si>
    <t>[372] ALABAMA -34½-120 (B+10)</t>
  </si>
  <si>
    <t>260 / 200</t>
  </si>
  <si>
    <t>LEITON / 0</t>
  </si>
  <si>
    <t>XFER</t>
  </si>
  <si>
    <t>Transfer to agent: BBB2000B1</t>
  </si>
  <si>
    <t>Unknown</t>
  </si>
  <si>
    <t>Idiot</t>
  </si>
  <si>
    <t>Ticket ID</t>
  </si>
  <si>
    <t>Sport</t>
  </si>
  <si>
    <t>Bet</t>
  </si>
  <si>
    <t>Risk / Win</t>
  </si>
  <si>
    <t>Outcome</t>
  </si>
  <si>
    <t>Detail</t>
  </si>
  <si>
    <t>Time Placed</t>
  </si>
  <si>
    <t>All</t>
  </si>
  <si>
    <t>Kiko</t>
  </si>
  <si>
    <t>Idiot3</t>
  </si>
  <si>
    <t>Carson</t>
  </si>
  <si>
    <t>Adjustments</t>
  </si>
  <si>
    <t>PlayerID</t>
  </si>
  <si>
    <t>Kevin (Not Victory</t>
  </si>
  <si>
    <t>Steve harrison</t>
  </si>
  <si>
    <t>Wagner Braga</t>
  </si>
  <si>
    <t>pyr146</t>
  </si>
  <si>
    <t>pyr147</t>
  </si>
  <si>
    <t>pyr148</t>
  </si>
  <si>
    <t>pyr112</t>
  </si>
  <si>
    <t>Nico</t>
  </si>
  <si>
    <t>pyr145</t>
  </si>
  <si>
    <t>Rob</t>
  </si>
  <si>
    <t>pyr150</t>
  </si>
  <si>
    <t>Noah</t>
  </si>
  <si>
    <t>Keenan Tims boy</t>
  </si>
  <si>
    <t>Owen Shroeder</t>
  </si>
  <si>
    <t>Brandon Wass</t>
  </si>
  <si>
    <t>Trev to Take Christian</t>
  </si>
  <si>
    <t>Orso Final</t>
  </si>
  <si>
    <t>Trev Final</t>
  </si>
  <si>
    <t>Initial</t>
  </si>
  <si>
    <t>Dro -&gt; 719 -&gt; Gabe</t>
  </si>
  <si>
    <t>Trev -&gt; 103 -&gt; Gabe</t>
  </si>
  <si>
    <t>Trev -&gt; 513 -&gt; Orso</t>
  </si>
  <si>
    <t>After</t>
  </si>
  <si>
    <t>kickbacks</t>
  </si>
  <si>
    <t>gabe</t>
  </si>
  <si>
    <t>orso</t>
  </si>
  <si>
    <t>pyr151</t>
  </si>
  <si>
    <t>Tommy’s boy</t>
  </si>
  <si>
    <t>pyr152</t>
  </si>
  <si>
    <t>Charlie Kennerly</t>
  </si>
  <si>
    <t>Gabe Owes</t>
  </si>
  <si>
    <t>haspaid</t>
  </si>
  <si>
    <t>Cary</t>
  </si>
  <si>
    <t>pyr155</t>
  </si>
  <si>
    <t>Tyler</t>
  </si>
  <si>
    <t>pyr156</t>
  </si>
  <si>
    <t>Quentin</t>
  </si>
  <si>
    <t>pyr153</t>
  </si>
  <si>
    <t>Bennett</t>
  </si>
  <si>
    <t>pyr149</t>
  </si>
  <si>
    <t>ike baldwin</t>
  </si>
  <si>
    <t>pyr154</t>
  </si>
  <si>
    <t>craig gaver</t>
  </si>
  <si>
    <t>r</t>
  </si>
  <si>
    <t>pyr157</t>
  </si>
  <si>
    <t>Chris</t>
  </si>
  <si>
    <t>Christian:</t>
  </si>
  <si>
    <t>we each pay christian $16 total, $8 for kickbacks and $8 for 5 active players</t>
  </si>
  <si>
    <t>c</t>
  </si>
  <si>
    <t>Amount Paid</t>
  </si>
  <si>
    <t>remainder</t>
  </si>
  <si>
    <t>ok so -700 from monster teaser, -50 from 7 pick parlay, -250 from 7 point teaser, +500 from 13 point monster, -700 from virginia monster, +500 from penn st alternate, -750 from colts ml, -600 on bengals teaser, -250 on colts parlay, jags teaser is still alive</t>
  </si>
  <si>
    <t>we each pay christian $21 total, $21 for kickbacks and $0 for 5 active players</t>
  </si>
  <si>
    <t>amount paid</t>
  </si>
  <si>
    <t>amount left</t>
  </si>
  <si>
    <t>action</t>
  </si>
  <si>
    <t>Oustanding</t>
  </si>
  <si>
    <t>Password</t>
  </si>
  <si>
    <t>Current Balance</t>
  </si>
  <si>
    <t>At Risk</t>
  </si>
  <si>
    <t>Available Balance</t>
  </si>
  <si>
    <t>Lifetime</t>
  </si>
  <si>
    <t>Credit Limit</t>
  </si>
  <si>
    <t>Max / Min Wager Web</t>
  </si>
  <si>
    <t>Max / Min Wager Phone</t>
  </si>
  <si>
    <t>Last Wager</t>
  </si>
  <si>
    <t>Enabled</t>
  </si>
  <si>
    <t>Sport / Casino / Race</t>
  </si>
  <si>
    <t>PYR101</t>
  </si>
  <si>
    <t>betatwork</t>
  </si>
  <si>
    <t>500 / 25</t>
  </si>
  <si>
    <t>No Info</t>
  </si>
  <si>
    <t>Yes</t>
  </si>
  <si>
    <t>YesYesYes</t>
  </si>
  <si>
    <t>madridsuck</t>
  </si>
  <si>
    <t>acct_frz</t>
  </si>
  <si>
    <t>300 / 10</t>
  </si>
  <si>
    <t>800 / 10</t>
  </si>
  <si>
    <t>eric123</t>
  </si>
  <si>
    <t>max1</t>
  </si>
  <si>
    <t>500 / 10</t>
  </si>
  <si>
    <t>gata123</t>
  </si>
  <si>
    <t>750 / 10</t>
  </si>
  <si>
    <t>reddevils7</t>
  </si>
  <si>
    <t>freeze</t>
  </si>
  <si>
    <t>250 / 10</t>
  </si>
  <si>
    <t>YesNoYes</t>
  </si>
  <si>
    <t>godawgs</t>
  </si>
  <si>
    <t>rex</t>
  </si>
  <si>
    <t>david1</t>
  </si>
  <si>
    <t>nico1</t>
  </si>
  <si>
    <t>xmarcos</t>
  </si>
  <si>
    <t>350 / 10</t>
  </si>
  <si>
    <t>gogata1</t>
  </si>
  <si>
    <t>509 / 10</t>
  </si>
  <si>
    <t>parlaylock</t>
  </si>
  <si>
    <t>stewart1</t>
  </si>
  <si>
    <t>aruenes</t>
  </si>
  <si>
    <t>400 / 10</t>
  </si>
  <si>
    <t>gobucs</t>
  </si>
  <si>
    <t>zane</t>
  </si>
  <si>
    <t>gp123</t>
  </si>
  <si>
    <t>259 / 10</t>
  </si>
  <si>
    <t>PYR121</t>
  </si>
  <si>
    <t>sports123</t>
  </si>
  <si>
    <t>PYR122</t>
  </si>
  <si>
    <t>natty5567</t>
  </si>
  <si>
    <t>PYR123</t>
  </si>
  <si>
    <t>gobolts</t>
  </si>
  <si>
    <t>PYR124</t>
  </si>
  <si>
    <t>dres1</t>
  </si>
  <si>
    <t>PYR125</t>
  </si>
  <si>
    <t>grieves125</t>
  </si>
  <si>
    <t>PYR126</t>
  </si>
  <si>
    <t>justin1</t>
  </si>
  <si>
    <t>PYR127</t>
  </si>
  <si>
    <t>PYR128</t>
  </si>
  <si>
    <t>brad123</t>
  </si>
  <si>
    <t>PYR129</t>
  </si>
  <si>
    <t>wagner1</t>
  </si>
  <si>
    <t>PYR130</t>
  </si>
  <si>
    <t>verlander3</t>
  </si>
  <si>
    <t>PYR131</t>
  </si>
  <si>
    <t>sly</t>
  </si>
  <si>
    <t>PYR132</t>
  </si>
  <si>
    <t>siva1</t>
  </si>
  <si>
    <t>PYR133</t>
  </si>
  <si>
    <t>h6n9j7m</t>
  </si>
  <si>
    <t>YesNoNo</t>
  </si>
  <si>
    <t>PYR134</t>
  </si>
  <si>
    <t>kevin123</t>
  </si>
  <si>
    <t>PYR135</t>
  </si>
  <si>
    <t>alex1</t>
  </si>
  <si>
    <t>PYR136</t>
  </si>
  <si>
    <t>welcome1</t>
  </si>
  <si>
    <t>PYR137</t>
  </si>
  <si>
    <t>zach1</t>
  </si>
  <si>
    <t>PYR138</t>
  </si>
  <si>
    <t>kaz 1</t>
  </si>
  <si>
    <t>PYR139</t>
  </si>
  <si>
    <t>how01</t>
  </si>
  <si>
    <t>200 / 10</t>
  </si>
  <si>
    <t>PYR140</t>
  </si>
  <si>
    <t>pat1</t>
  </si>
  <si>
    <t>PYR141</t>
  </si>
  <si>
    <t>luc1</t>
  </si>
  <si>
    <t>PYR142</t>
  </si>
  <si>
    <t>open</t>
  </si>
  <si>
    <t>PYR143</t>
  </si>
  <si>
    <t>cary1</t>
  </si>
  <si>
    <t>PYR144</t>
  </si>
  <si>
    <t>logan1</t>
  </si>
  <si>
    <t>PYR145</t>
  </si>
  <si>
    <t>rrojas</t>
  </si>
  <si>
    <t>PYR146</t>
  </si>
  <si>
    <t>keenan1</t>
  </si>
  <si>
    <t>PYR147</t>
  </si>
  <si>
    <t>owen1</t>
  </si>
  <si>
    <t>PYR148</t>
  </si>
  <si>
    <t>wass1</t>
  </si>
  <si>
    <t>PYR149</t>
  </si>
  <si>
    <t>iball69</t>
  </si>
  <si>
    <t>PYR150</t>
  </si>
  <si>
    <t>nmiller</t>
  </si>
  <si>
    <t>PYR151</t>
  </si>
  <si>
    <t>gogata123</t>
  </si>
  <si>
    <t>PYR152</t>
  </si>
  <si>
    <t>brownie1</t>
  </si>
  <si>
    <t>PYR153</t>
  </si>
  <si>
    <t>bennett1</t>
  </si>
  <si>
    <t>PYR154</t>
  </si>
  <si>
    <t>PYR155</t>
  </si>
  <si>
    <t>tyler1</t>
  </si>
  <si>
    <t>PYR156</t>
  </si>
  <si>
    <t>quentin1</t>
  </si>
  <si>
    <t>PYR157</t>
  </si>
  <si>
    <t>gogata15</t>
  </si>
  <si>
    <t>PYR158</t>
  </si>
  <si>
    <t>jax123</t>
  </si>
  <si>
    <t>PYR159</t>
  </si>
  <si>
    <t>PYR160</t>
  </si>
  <si>
    <t>Trevor Jax</t>
  </si>
  <si>
    <t>Brother! Great news. We’ve changed platforms to a sick new website. More lines, better user experience, and overall upgraded live betting. /n You have the same username/password. Your future bets are already converted to the new site.</t>
  </si>
  <si>
    <t>As a reminder your username/password is as follows:</t>
  </si>
  <si>
    <t>website: allaction365.net</t>
  </si>
  <si>
    <t>username: pyr103</t>
  </si>
  <si>
    <t>Lastly, we are giving out free $50 straight bet for the the minor inconvenience of the switch.</t>
  </si>
  <si>
    <t>username: pyr105</t>
  </si>
  <si>
    <t>password: max1</t>
  </si>
  <si>
    <t>username: pyr116</t>
  </si>
  <si>
    <t>password: stewart1</t>
  </si>
  <si>
    <t>username: pyr124</t>
  </si>
  <si>
    <t>password: dres1</t>
  </si>
  <si>
    <t>username: pyr125</t>
  </si>
  <si>
    <t>password: grieves125</t>
  </si>
  <si>
    <t>username: pyr126</t>
  </si>
  <si>
    <t>password: justin1</t>
  </si>
  <si>
    <t>username: pyr128</t>
  </si>
  <si>
    <t>password: brad123</t>
  </si>
  <si>
    <t>username: pyr129</t>
  </si>
  <si>
    <t>password: wagner1</t>
  </si>
  <si>
    <t>username: pyr133</t>
  </si>
  <si>
    <t>password: h6n9j7m</t>
  </si>
  <si>
    <t>username: pyr141</t>
  </si>
  <si>
    <t>password: luc1</t>
  </si>
  <si>
    <t>username: pyr142</t>
  </si>
  <si>
    <t>password: open</t>
  </si>
  <si>
    <t>username: pyr144</t>
  </si>
  <si>
    <t>password: logan1</t>
  </si>
  <si>
    <t>username: pyr147</t>
  </si>
  <si>
    <t>password: owen1</t>
  </si>
  <si>
    <t>username: pyr148</t>
  </si>
  <si>
    <t>password: wass1</t>
  </si>
  <si>
    <t>username: pyr149</t>
  </si>
  <si>
    <t>password: iball69</t>
  </si>
  <si>
    <t>username: pyr152</t>
  </si>
  <si>
    <t>password: brownie1</t>
  </si>
  <si>
    <t>username: pyr153</t>
  </si>
  <si>
    <t>password: bennett1</t>
  </si>
  <si>
    <t>username: pyr154</t>
  </si>
  <si>
    <t>password: freeze</t>
  </si>
  <si>
    <t>password:</t>
  </si>
  <si>
    <t>pyr160</t>
  </si>
  <si>
    <t>tate</t>
  </si>
  <si>
    <t>Amount Outstanding</t>
  </si>
  <si>
    <t xml:space="preserve">RED FEES </t>
  </si>
  <si>
    <t>Total Outstanding</t>
  </si>
  <si>
    <t>Tate</t>
  </si>
  <si>
    <t>x</t>
  </si>
  <si>
    <t>xavi</t>
  </si>
  <si>
    <t>Player ID</t>
  </si>
  <si>
    <t>Player Name</t>
  </si>
  <si>
    <t>Brian</t>
  </si>
  <si>
    <t>pyr159</t>
  </si>
  <si>
    <t>DaveTimsboy</t>
  </si>
  <si>
    <t>None</t>
  </si>
  <si>
    <t>pyr101</t>
  </si>
  <si>
    <t>DEMO</t>
  </si>
  <si>
    <t>OPEN</t>
  </si>
  <si>
    <t>pyr158</t>
  </si>
  <si>
    <t>paste here:</t>
  </si>
  <si>
    <t>Jimmy</t>
  </si>
  <si>
    <t>Clark</t>
  </si>
  <si>
    <t>RyanVictory</t>
  </si>
  <si>
    <t>Tee</t>
  </si>
  <si>
    <t>TylerL</t>
  </si>
  <si>
    <t>DylanB</t>
  </si>
  <si>
    <t>Quees</t>
  </si>
  <si>
    <t>Narter</t>
  </si>
  <si>
    <t>Luther</t>
  </si>
  <si>
    <t>Colby Peters</t>
  </si>
  <si>
    <t>Connor</t>
  </si>
  <si>
    <t>Verlander</t>
  </si>
  <si>
    <t>Nico S</t>
  </si>
  <si>
    <t>Trev for Gabe</t>
  </si>
  <si>
    <t>Original Payment</t>
  </si>
  <si>
    <t>Final Payment</t>
  </si>
  <si>
    <t>Gabe sending to Trev</t>
  </si>
  <si>
    <t>Keenan</t>
  </si>
  <si>
    <t>ColesAccount</t>
  </si>
  <si>
    <t>Brad</t>
  </si>
  <si>
    <t>N/A</t>
  </si>
  <si>
    <t>`</t>
  </si>
  <si>
    <t>Zach</t>
  </si>
  <si>
    <t>Carter</t>
  </si>
  <si>
    <t>Pardo</t>
  </si>
  <si>
    <t>pyr163</t>
  </si>
  <si>
    <t>Lance</t>
  </si>
  <si>
    <t>USCGabe</t>
  </si>
  <si>
    <t>pyr161</t>
  </si>
  <si>
    <t>Carl</t>
  </si>
  <si>
    <t>Open</t>
  </si>
  <si>
    <t>Game</t>
  </si>
  <si>
    <t>ND @ OSU</t>
  </si>
  <si>
    <t>O @ GA</t>
  </si>
  <si>
    <t>UT @ FL</t>
  </si>
  <si>
    <t>FSU @ LSU</t>
  </si>
  <si>
    <t>WVU @ PITT</t>
  </si>
  <si>
    <t>Our Total</t>
  </si>
  <si>
    <t>SUM</t>
  </si>
  <si>
    <t>pyr164</t>
  </si>
  <si>
    <t>Jacob</t>
  </si>
  <si>
    <t>pyr165</t>
  </si>
  <si>
    <t>CPeters</t>
  </si>
  <si>
    <t>pyr166</t>
  </si>
  <si>
    <t>DT</t>
  </si>
  <si>
    <t>pyr167</t>
  </si>
  <si>
    <t>GZ</t>
  </si>
  <si>
    <t>Original AMT</t>
  </si>
  <si>
    <t>Desired Final</t>
  </si>
  <si>
    <t>Amount to take off</t>
  </si>
  <si>
    <t>Hannah</t>
  </si>
  <si>
    <t>JohnEverett</t>
  </si>
  <si>
    <t>NebBaldwin</t>
  </si>
  <si>
    <t>pyr169</t>
  </si>
  <si>
    <t>Sly1</t>
  </si>
  <si>
    <t>full</t>
  </si>
  <si>
    <t>done</t>
  </si>
  <si>
    <t>Full</t>
  </si>
  <si>
    <t>pyr168</t>
  </si>
  <si>
    <t>Bean</t>
  </si>
  <si>
    <t>Open Bets</t>
  </si>
  <si>
    <t>Graded Bets Amount</t>
  </si>
  <si>
    <t>Win</t>
  </si>
  <si>
    <t>Lose</t>
  </si>
  <si>
    <t>Net</t>
  </si>
  <si>
    <t>Currency</t>
  </si>
  <si>
    <t>USD</t>
  </si>
  <si>
    <t>PYR167</t>
  </si>
  <si>
    <t>PYR109</t>
  </si>
  <si>
    <t>PYR166</t>
  </si>
  <si>
    <t>PYR168</t>
  </si>
  <si>
    <t>PYR106</t>
  </si>
  <si>
    <t>PYR108</t>
  </si>
  <si>
    <t>PYR102</t>
  </si>
  <si>
    <t>PYR116</t>
  </si>
  <si>
    <t>PYR169</t>
  </si>
  <si>
    <t>PYR111</t>
  </si>
  <si>
    <t>PYR110</t>
  </si>
  <si>
    <t>PYR119</t>
  </si>
  <si>
    <t>PYR165</t>
  </si>
  <si>
    <t>PYR103</t>
  </si>
  <si>
    <t>PYR115</t>
  </si>
  <si>
    <t>PYR120</t>
  </si>
  <si>
    <t>PYR118</t>
  </si>
  <si>
    <t>PYR104</t>
  </si>
  <si>
    <t>PYR114</t>
  </si>
  <si>
    <t>PYR164</t>
  </si>
  <si>
    <t>PYR105</t>
  </si>
  <si>
    <t>PYR107</t>
  </si>
  <si>
    <t>PYR163</t>
  </si>
  <si>
    <t>Total Volume</t>
  </si>
  <si>
    <t>pyr170</t>
  </si>
  <si>
    <t>Max</t>
  </si>
  <si>
    <t>Buy</t>
  </si>
  <si>
    <t>Sell</t>
  </si>
  <si>
    <t>Purchase Price</t>
  </si>
  <si>
    <t>Sale price</t>
  </si>
  <si>
    <t>Profit:</t>
  </si>
  <si>
    <t>Sale Price</t>
  </si>
  <si>
    <t>Profit per Tickets</t>
  </si>
  <si>
    <t>Eight</t>
  </si>
  <si>
    <t>Seven</t>
  </si>
  <si>
    <t>Six</t>
  </si>
  <si>
    <t>Five</t>
  </si>
  <si>
    <t>Four</t>
  </si>
  <si>
    <t>Three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</si>
</sst>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444444"/>
      <name val="Inherit"/>
    </font>
    <font>
      <sz val="13"/>
      <color rgb="FF444444"/>
      <name val="Inherit"/>
    </font>
    <font>
      <u/>
      <sz val="13"/>
      <color rgb="FF333333"/>
      <name val="Inherit"/>
    </font>
    <font>
      <sz val="13"/>
      <color rgb="FFC70000"/>
      <name val="Inherit"/>
    </font>
    <font>
      <sz val="13"/>
      <color rgb="FF111111"/>
      <name val="Inherit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555555"/>
      <name val="Verdana"/>
      <family val="2"/>
    </font>
    <font>
      <b/>
      <sz val="11"/>
      <color rgb="FF555555"/>
      <name val="Verdana"/>
      <family val="2"/>
    </font>
    <font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13"/>
      <color rgb="FF44444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E414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0"/>
        <bgColor indexed="64"/>
      </patternFill>
    </fill>
  </fills>
  <borders count="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3">
    <xf numFmtId="0" fontId="0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</cellStyleXfs>
  <cellXfs count="373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2" borderId="1" xfId="0" applyFill="1" applyBorder="1"/>
    <xf numFmtId="0" fontId="0" fillId="8" borderId="1" xfId="0" applyFill="1" applyBorder="1"/>
    <xf numFmtId="0" fontId="0" fillId="4" borderId="1" xfId="0" applyFill="1" applyBorder="1"/>
    <xf numFmtId="0" fontId="0" fillId="7" borderId="1" xfId="0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5" xfId="0" applyFont="1" applyFill="1" applyBorder="1"/>
    <xf numFmtId="0" fontId="0" fillId="8" borderId="2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13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0" fillId="7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7" borderId="14" xfId="0" applyFill="1" applyBorder="1"/>
    <xf numFmtId="0" fontId="0" fillId="7" borderId="15" xfId="0" applyFill="1" applyBorder="1"/>
    <xf numFmtId="0" fontId="2" fillId="6" borderId="16" xfId="0" applyFont="1" applyFill="1" applyBorder="1"/>
    <xf numFmtId="0" fontId="2" fillId="6" borderId="17" xfId="0" applyFont="1" applyFill="1" applyBorder="1"/>
    <xf numFmtId="0" fontId="2" fillId="6" borderId="18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3" fontId="0" fillId="0" borderId="0" xfId="0" applyNumberFormat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2" fontId="5" fillId="0" borderId="0" xfId="0" applyNumberFormat="1" applyFont="1"/>
    <xf numFmtId="2" fontId="4" fillId="0" borderId="0" xfId="0" applyNumberFormat="1" applyFont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9" xfId="0" applyFill="1" applyBorder="1"/>
    <xf numFmtId="0" fontId="0" fillId="9" borderId="1" xfId="0" applyFill="1" applyBorder="1"/>
    <xf numFmtId="0" fontId="0" fillId="9" borderId="8" xfId="0" applyFill="1" applyBorder="1"/>
    <xf numFmtId="0" fontId="0" fillId="9" borderId="10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0" fillId="9" borderId="11" xfId="0" applyFill="1" applyBorder="1"/>
    <xf numFmtId="0" fontId="0" fillId="9" borderId="12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/>
    <xf numFmtId="0" fontId="0" fillId="10" borderId="1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21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0" borderId="1" xfId="0" applyBorder="1"/>
    <xf numFmtId="0" fontId="0" fillId="10" borderId="14" xfId="0" applyFill="1" applyBorder="1"/>
    <xf numFmtId="0" fontId="0" fillId="10" borderId="2" xfId="0" applyFill="1" applyBorder="1"/>
    <xf numFmtId="0" fontId="0" fillId="10" borderId="15" xfId="0" applyFill="1" applyBorder="1"/>
    <xf numFmtId="0" fontId="0" fillId="10" borderId="22" xfId="0" applyFill="1" applyBorder="1"/>
    <xf numFmtId="0" fontId="0" fillId="10" borderId="23" xfId="0" applyFill="1" applyBorder="1"/>
    <xf numFmtId="0" fontId="0" fillId="10" borderId="24" xfId="0" applyFill="1" applyBorder="1"/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3" borderId="1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13" borderId="12" xfId="0" applyFill="1" applyBorder="1"/>
    <xf numFmtId="0" fontId="0" fillId="13" borderId="1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0" fillId="13" borderId="14" xfId="0" applyFill="1" applyBorder="1"/>
    <xf numFmtId="0" fontId="0" fillId="13" borderId="2" xfId="0" applyFill="1" applyBorder="1"/>
    <xf numFmtId="0" fontId="0" fillId="13" borderId="15" xfId="0" applyFill="1" applyBorder="1"/>
    <xf numFmtId="0" fontId="0" fillId="14" borderId="1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2" borderId="14" xfId="0" applyFill="1" applyBorder="1"/>
    <xf numFmtId="0" fontId="0" fillId="12" borderId="2" xfId="0" applyFill="1" applyBorder="1"/>
    <xf numFmtId="0" fontId="0" fillId="12" borderId="15" xfId="0" applyFill="1" applyBorder="1"/>
    <xf numFmtId="0" fontId="0" fillId="13" borderId="0" xfId="0" applyFill="1"/>
    <xf numFmtId="0" fontId="2" fillId="15" borderId="33" xfId="0" applyFont="1" applyFill="1" applyBorder="1" applyAlignment="1">
      <alignment horizontal="center"/>
    </xf>
    <xf numFmtId="0" fontId="2" fillId="15" borderId="34" xfId="0" applyFon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10" fillId="16" borderId="26" xfId="0" applyFont="1" applyFill="1" applyBorder="1"/>
    <xf numFmtId="0" fontId="0" fillId="16" borderId="26" xfId="0" applyFill="1" applyBorder="1"/>
    <xf numFmtId="22" fontId="10" fillId="16" borderId="29" xfId="0" applyNumberFormat="1" applyFont="1" applyFill="1" applyBorder="1"/>
    <xf numFmtId="0" fontId="10" fillId="16" borderId="29" xfId="0" applyFont="1" applyFill="1" applyBorder="1"/>
    <xf numFmtId="0" fontId="10" fillId="17" borderId="26" xfId="0" applyFont="1" applyFill="1" applyBorder="1"/>
    <xf numFmtId="0" fontId="0" fillId="17" borderId="26" xfId="0" applyFill="1" applyBorder="1"/>
    <xf numFmtId="22" fontId="10" fillId="17" borderId="0" xfId="0" applyNumberFormat="1" applyFont="1" applyFill="1"/>
    <xf numFmtId="0" fontId="10" fillId="17" borderId="0" xfId="0" applyFont="1" applyFill="1"/>
    <xf numFmtId="0" fontId="10" fillId="17" borderId="29" xfId="0" applyFont="1" applyFill="1" applyBorder="1"/>
    <xf numFmtId="0" fontId="10" fillId="17" borderId="33" xfId="0" applyFont="1" applyFill="1" applyBorder="1" applyAlignment="1">
      <alignment vertical="center"/>
    </xf>
    <xf numFmtId="0" fontId="10" fillId="17" borderId="34" xfId="0" applyFont="1" applyFill="1" applyBorder="1"/>
    <xf numFmtId="22" fontId="10" fillId="17" borderId="35" xfId="0" applyNumberFormat="1" applyFont="1" applyFill="1" applyBorder="1"/>
    <xf numFmtId="0" fontId="10" fillId="17" borderId="25" xfId="0" applyFont="1" applyFill="1" applyBorder="1" applyAlignment="1">
      <alignment vertical="center"/>
    </xf>
    <xf numFmtId="22" fontId="10" fillId="17" borderId="27" xfId="0" applyNumberFormat="1" applyFont="1" applyFill="1" applyBorder="1"/>
    <xf numFmtId="0" fontId="10" fillId="17" borderId="31" xfId="0" applyFont="1" applyFill="1" applyBorder="1" applyAlignment="1">
      <alignment vertical="center"/>
    </xf>
    <xf numFmtId="22" fontId="10" fillId="17" borderId="32" xfId="0" applyNumberFormat="1" applyFont="1" applyFill="1" applyBorder="1"/>
    <xf numFmtId="0" fontId="0" fillId="17" borderId="0" xfId="0" applyFill="1"/>
    <xf numFmtId="0" fontId="10" fillId="17" borderId="28" xfId="0" applyFont="1" applyFill="1" applyBorder="1" applyAlignment="1">
      <alignment vertical="center"/>
    </xf>
    <xf numFmtId="22" fontId="10" fillId="17" borderId="29" xfId="0" applyNumberFormat="1" applyFont="1" applyFill="1" applyBorder="1"/>
    <xf numFmtId="0" fontId="10" fillId="16" borderId="25" xfId="0" applyFont="1" applyFill="1" applyBorder="1" applyAlignment="1">
      <alignment vertical="center"/>
    </xf>
    <xf numFmtId="22" fontId="10" fillId="16" borderId="27" xfId="0" applyNumberFormat="1" applyFont="1" applyFill="1" applyBorder="1"/>
    <xf numFmtId="0" fontId="10" fillId="16" borderId="31" xfId="0" applyFont="1" applyFill="1" applyBorder="1" applyAlignment="1">
      <alignment vertical="center"/>
    </xf>
    <xf numFmtId="22" fontId="10" fillId="16" borderId="0" xfId="0" applyNumberFormat="1" applyFont="1" applyFill="1"/>
    <xf numFmtId="0" fontId="10" fillId="16" borderId="0" xfId="0" applyFont="1" applyFill="1"/>
    <xf numFmtId="22" fontId="10" fillId="16" borderId="32" xfId="0" applyNumberFormat="1" applyFont="1" applyFill="1" applyBorder="1"/>
    <xf numFmtId="0" fontId="0" fillId="16" borderId="0" xfId="0" applyFill="1"/>
    <xf numFmtId="0" fontId="10" fillId="16" borderId="28" xfId="0" applyFont="1" applyFill="1" applyBorder="1" applyAlignment="1">
      <alignment vertical="center"/>
    </xf>
    <xf numFmtId="0" fontId="0" fillId="16" borderId="29" xfId="0" applyFill="1" applyBorder="1"/>
    <xf numFmtId="22" fontId="10" fillId="16" borderId="30" xfId="0" applyNumberFormat="1" applyFont="1" applyFill="1" applyBorder="1"/>
    <xf numFmtId="0" fontId="0" fillId="18" borderId="31" xfId="0" applyFill="1" applyBorder="1"/>
    <xf numFmtId="0" fontId="0" fillId="18" borderId="32" xfId="0" applyFill="1" applyBorder="1"/>
    <xf numFmtId="0" fontId="0" fillId="18" borderId="28" xfId="0" applyFill="1" applyBorder="1"/>
    <xf numFmtId="0" fontId="0" fillId="18" borderId="30" xfId="0" applyFill="1" applyBorder="1"/>
    <xf numFmtId="0" fontId="0" fillId="18" borderId="25" xfId="0" applyFill="1" applyBorder="1"/>
    <xf numFmtId="0" fontId="0" fillId="18" borderId="27" xfId="0" applyFill="1" applyBorder="1"/>
    <xf numFmtId="0" fontId="9" fillId="18" borderId="28" xfId="0" applyFont="1" applyFill="1" applyBorder="1"/>
    <xf numFmtId="0" fontId="9" fillId="18" borderId="30" xfId="0" applyFont="1" applyFill="1" applyBorder="1"/>
    <xf numFmtId="0" fontId="11" fillId="18" borderId="33" xfId="0" applyFont="1" applyFill="1" applyBorder="1"/>
    <xf numFmtId="0" fontId="11" fillId="18" borderId="34" xfId="0" applyFont="1" applyFill="1" applyBorder="1"/>
    <xf numFmtId="22" fontId="11" fillId="18" borderId="35" xfId="0" applyNumberFormat="1" applyFont="1" applyFill="1" applyBorder="1"/>
    <xf numFmtId="0" fontId="0" fillId="0" borderId="25" xfId="0" applyBorder="1"/>
    <xf numFmtId="0" fontId="0" fillId="0" borderId="27" xfId="0" applyBorder="1"/>
    <xf numFmtId="0" fontId="0" fillId="0" borderId="31" xfId="0" applyBorder="1"/>
    <xf numFmtId="0" fontId="0" fillId="0" borderId="32" xfId="0" applyBorder="1"/>
    <xf numFmtId="0" fontId="0" fillId="0" borderId="28" xfId="0" applyBorder="1"/>
    <xf numFmtId="0" fontId="0" fillId="0" borderId="30" xfId="0" applyBorder="1"/>
    <xf numFmtId="0" fontId="13" fillId="19" borderId="0" xfId="0" applyFont="1" applyFill="1"/>
    <xf numFmtId="0" fontId="0" fillId="19" borderId="0" xfId="0" applyFill="1"/>
    <xf numFmtId="0" fontId="0" fillId="12" borderId="0" xfId="0" applyFill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3" fillId="13" borderId="0" xfId="0" applyFont="1" applyFill="1"/>
    <xf numFmtId="9" fontId="0" fillId="0" borderId="0" xfId="1" applyFont="1"/>
    <xf numFmtId="0" fontId="15" fillId="0" borderId="0" xfId="0" applyFont="1"/>
    <xf numFmtId="0" fontId="2" fillId="15" borderId="1" xfId="0" applyFont="1" applyFill="1" applyBorder="1"/>
    <xf numFmtId="0" fontId="14" fillId="0" borderId="1" xfId="0" applyFont="1" applyBorder="1"/>
    <xf numFmtId="3" fontId="14" fillId="0" borderId="1" xfId="0" applyNumberFormat="1" applyFont="1" applyBorder="1"/>
    <xf numFmtId="14" fontId="14" fillId="0" borderId="1" xfId="0" applyNumberFormat="1" applyFont="1" applyBorder="1"/>
    <xf numFmtId="0" fontId="16" fillId="0" borderId="1" xfId="0" applyFont="1" applyBorder="1"/>
    <xf numFmtId="44" fontId="0" fillId="0" borderId="0" xfId="2" applyFont="1"/>
    <xf numFmtId="44" fontId="0" fillId="0" borderId="0" xfId="0" applyNumberFormat="1"/>
    <xf numFmtId="0" fontId="0" fillId="14" borderId="16" xfId="0" applyFill="1" applyBorder="1"/>
    <xf numFmtId="0" fontId="0" fillId="14" borderId="17" xfId="0" applyFill="1" applyBorder="1"/>
    <xf numFmtId="0" fontId="0" fillId="14" borderId="18" xfId="0" applyFill="1" applyBorder="1"/>
    <xf numFmtId="0" fontId="0" fillId="10" borderId="36" xfId="0" applyFill="1" applyBorder="1"/>
    <xf numFmtId="0" fontId="0" fillId="10" borderId="37" xfId="0" applyFill="1" applyBorder="1"/>
    <xf numFmtId="0" fontId="0" fillId="10" borderId="38" xfId="0" applyFill="1" applyBorder="1"/>
    <xf numFmtId="0" fontId="0" fillId="10" borderId="39" xfId="0" applyFill="1" applyBorder="1"/>
    <xf numFmtId="0" fontId="0" fillId="10" borderId="40" xfId="0" applyFill="1" applyBorder="1"/>
    <xf numFmtId="0" fontId="0" fillId="10" borderId="41" xfId="0" applyFill="1" applyBorder="1"/>
    <xf numFmtId="0" fontId="0" fillId="10" borderId="42" xfId="0" applyFill="1" applyBorder="1"/>
    <xf numFmtId="0" fontId="0" fillId="10" borderId="43" xfId="0" applyFill="1" applyBorder="1"/>
    <xf numFmtId="0" fontId="0" fillId="12" borderId="36" xfId="0" applyFill="1" applyBorder="1"/>
    <xf numFmtId="0" fontId="0" fillId="12" borderId="37" xfId="0" applyFill="1" applyBorder="1"/>
    <xf numFmtId="0" fontId="0" fillId="12" borderId="38" xfId="0" applyFill="1" applyBorder="1"/>
    <xf numFmtId="0" fontId="0" fillId="12" borderId="39" xfId="0" applyFill="1" applyBorder="1"/>
    <xf numFmtId="0" fontId="0" fillId="12" borderId="40" xfId="0" applyFill="1" applyBorder="1"/>
    <xf numFmtId="0" fontId="0" fillId="12" borderId="41" xfId="0" applyFill="1" applyBorder="1"/>
    <xf numFmtId="0" fontId="0" fillId="12" borderId="42" xfId="0" applyFill="1" applyBorder="1"/>
    <xf numFmtId="0" fontId="0" fillId="12" borderId="43" xfId="0" applyFill="1" applyBorder="1"/>
    <xf numFmtId="0" fontId="0" fillId="13" borderId="36" xfId="0" applyFill="1" applyBorder="1"/>
    <xf numFmtId="0" fontId="0" fillId="13" borderId="37" xfId="0" applyFill="1" applyBorder="1"/>
    <xf numFmtId="0" fontId="0" fillId="13" borderId="38" xfId="0" applyFill="1" applyBorder="1"/>
    <xf numFmtId="0" fontId="0" fillId="13" borderId="39" xfId="0" applyFill="1" applyBorder="1"/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3" borderId="43" xfId="0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1" fillId="20" borderId="47" xfId="0" applyFont="1" applyFill="1" applyBorder="1" applyAlignment="1">
      <alignment horizontal="center"/>
    </xf>
    <xf numFmtId="0" fontId="1" fillId="22" borderId="48" xfId="0" applyFont="1" applyFill="1" applyBorder="1" applyAlignment="1">
      <alignment horizontal="center"/>
    </xf>
    <xf numFmtId="0" fontId="1" fillId="20" borderId="48" xfId="0" applyFont="1" applyFill="1" applyBorder="1" applyAlignment="1">
      <alignment horizontal="center"/>
    </xf>
    <xf numFmtId="0" fontId="1" fillId="21" borderId="47" xfId="0" applyFont="1" applyFill="1" applyBorder="1" applyAlignment="1">
      <alignment horizontal="center"/>
    </xf>
    <xf numFmtId="0" fontId="1" fillId="21" borderId="48" xfId="0" applyFont="1" applyFill="1" applyBorder="1" applyAlignment="1">
      <alignment horizontal="center"/>
    </xf>
    <xf numFmtId="0" fontId="1" fillId="22" borderId="47" xfId="0" applyFont="1" applyFill="1" applyBorder="1" applyAlignment="1">
      <alignment horizontal="center"/>
    </xf>
    <xf numFmtId="0" fontId="1" fillId="25" borderId="48" xfId="0" applyFont="1" applyFill="1" applyBorder="1" applyAlignment="1">
      <alignment horizontal="center"/>
    </xf>
    <xf numFmtId="0" fontId="0" fillId="23" borderId="49" xfId="0" applyFill="1" applyBorder="1"/>
    <xf numFmtId="0" fontId="0" fillId="23" borderId="50" xfId="0" applyFill="1" applyBorder="1"/>
    <xf numFmtId="0" fontId="0" fillId="17" borderId="49" xfId="0" applyFill="1" applyBorder="1"/>
    <xf numFmtId="0" fontId="0" fillId="17" borderId="50" xfId="0" applyFill="1" applyBorder="1"/>
    <xf numFmtId="0" fontId="0" fillId="24" borderId="49" xfId="0" applyFill="1" applyBorder="1"/>
    <xf numFmtId="0" fontId="0" fillId="24" borderId="50" xfId="0" applyFill="1" applyBorder="1"/>
    <xf numFmtId="0" fontId="0" fillId="16" borderId="50" xfId="0" applyFill="1" applyBorder="1"/>
    <xf numFmtId="0" fontId="0" fillId="23" borderId="51" xfId="0" applyFill="1" applyBorder="1"/>
    <xf numFmtId="0" fontId="0" fillId="23" borderId="52" xfId="0" applyFill="1" applyBorder="1"/>
    <xf numFmtId="0" fontId="0" fillId="17" borderId="51" xfId="0" applyFill="1" applyBorder="1"/>
    <xf numFmtId="0" fontId="0" fillId="17" borderId="52" xfId="0" applyFill="1" applyBorder="1"/>
    <xf numFmtId="0" fontId="0" fillId="24" borderId="51" xfId="0" applyFill="1" applyBorder="1"/>
    <xf numFmtId="0" fontId="0" fillId="24" borderId="52" xfId="0" applyFill="1" applyBorder="1"/>
    <xf numFmtId="0" fontId="0" fillId="16" borderId="52" xfId="0" applyFill="1" applyBorder="1"/>
    <xf numFmtId="0" fontId="0" fillId="23" borderId="47" xfId="0" applyFill="1" applyBorder="1"/>
    <xf numFmtId="0" fontId="0" fillId="23" borderId="48" xfId="0" applyFill="1" applyBorder="1"/>
    <xf numFmtId="0" fontId="0" fillId="17" borderId="47" xfId="0" applyFill="1" applyBorder="1"/>
    <xf numFmtId="0" fontId="0" fillId="17" borderId="48" xfId="0" applyFill="1" applyBorder="1"/>
    <xf numFmtId="0" fontId="0" fillId="24" borderId="47" xfId="0" applyFill="1" applyBorder="1"/>
    <xf numFmtId="0" fontId="0" fillId="24" borderId="48" xfId="0" applyFill="1" applyBorder="1"/>
    <xf numFmtId="0" fontId="0" fillId="16" borderId="48" xfId="0" applyFill="1" applyBorder="1"/>
    <xf numFmtId="0" fontId="0" fillId="10" borderId="55" xfId="0" applyFill="1" applyBorder="1"/>
    <xf numFmtId="0" fontId="0" fillId="10" borderId="56" xfId="0" applyFill="1" applyBorder="1"/>
    <xf numFmtId="0" fontId="0" fillId="13" borderId="57" xfId="0" applyFill="1" applyBorder="1"/>
    <xf numFmtId="0" fontId="0" fillId="13" borderId="58" xfId="0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2" fillId="6" borderId="61" xfId="0" applyFont="1" applyFill="1" applyBorder="1"/>
    <xf numFmtId="0" fontId="0" fillId="13" borderId="19" xfId="0" applyFill="1" applyBorder="1"/>
    <xf numFmtId="0" fontId="0" fillId="13" borderId="20" xfId="0" applyFill="1" applyBorder="1"/>
    <xf numFmtId="0" fontId="0" fillId="13" borderId="21" xfId="0" applyFill="1" applyBorder="1"/>
    <xf numFmtId="0" fontId="2" fillId="6" borderId="62" xfId="0" applyFont="1" applyFill="1" applyBorder="1"/>
    <xf numFmtId="0" fontId="2" fillId="6" borderId="63" xfId="0" applyFont="1" applyFill="1" applyBorder="1"/>
    <xf numFmtId="0" fontId="2" fillId="6" borderId="64" xfId="0" applyFont="1" applyFill="1" applyBorder="1"/>
    <xf numFmtId="0" fontId="0" fillId="10" borderId="65" xfId="0" applyFill="1" applyBorder="1"/>
    <xf numFmtId="0" fontId="0" fillId="10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2" borderId="65" xfId="0" applyFill="1" applyBorder="1"/>
    <xf numFmtId="0" fontId="0" fillId="12" borderId="66" xfId="0" applyFill="1" applyBorder="1"/>
    <xf numFmtId="0" fontId="0" fillId="12" borderId="67" xfId="0" applyFill="1" applyBorder="1"/>
    <xf numFmtId="0" fontId="0" fillId="12" borderId="68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26" borderId="73" xfId="0" applyFill="1" applyBorder="1"/>
    <xf numFmtId="0" fontId="0" fillId="26" borderId="74" xfId="0" applyFill="1" applyBorder="1"/>
    <xf numFmtId="0" fontId="9" fillId="27" borderId="72" xfId="0" applyFont="1" applyFill="1" applyBorder="1"/>
    <xf numFmtId="0" fontId="9" fillId="27" borderId="71" xfId="0" applyFont="1" applyFill="1" applyBorder="1"/>
    <xf numFmtId="0" fontId="0" fillId="28" borderId="77" xfId="0" applyFill="1" applyBorder="1"/>
    <xf numFmtId="0" fontId="0" fillId="28" borderId="78" xfId="0" applyFill="1" applyBorder="1"/>
    <xf numFmtId="0" fontId="0" fillId="26" borderId="77" xfId="0" applyFill="1" applyBorder="1"/>
    <xf numFmtId="0" fontId="0" fillId="26" borderId="78" xfId="0" applyFill="1" applyBorder="1"/>
    <xf numFmtId="0" fontId="0" fillId="26" borderId="79" xfId="0" applyFill="1" applyBorder="1"/>
    <xf numFmtId="0" fontId="0" fillId="26" borderId="80" xfId="0" applyFill="1" applyBorder="1"/>
    <xf numFmtId="0" fontId="9" fillId="27" borderId="33" xfId="0" applyFont="1" applyFill="1" applyBorder="1"/>
    <xf numFmtId="0" fontId="9" fillId="27" borderId="35" xfId="0" applyFont="1" applyFill="1" applyBorder="1"/>
    <xf numFmtId="0" fontId="18" fillId="30" borderId="81" xfId="0" applyFont="1" applyFill="1" applyBorder="1"/>
    <xf numFmtId="0" fontId="18" fillId="30" borderId="82" xfId="0" applyFont="1" applyFill="1" applyBorder="1"/>
    <xf numFmtId="0" fontId="18" fillId="30" borderId="83" xfId="0" applyFont="1" applyFill="1" applyBorder="1"/>
    <xf numFmtId="0" fontId="19" fillId="31" borderId="14" xfId="0" applyFont="1" applyFill="1" applyBorder="1"/>
    <xf numFmtId="0" fontId="19" fillId="31" borderId="72" xfId="0" applyFont="1" applyFill="1" applyBorder="1"/>
    <xf numFmtId="0" fontId="19" fillId="31" borderId="84" xfId="0" applyFont="1" applyFill="1" applyBorder="1"/>
    <xf numFmtId="0" fontId="19" fillId="32" borderId="6" xfId="0" applyFont="1" applyFill="1" applyBorder="1"/>
    <xf numFmtId="0" fontId="19" fillId="32" borderId="85" xfId="0" applyFont="1" applyFill="1" applyBorder="1"/>
    <xf numFmtId="0" fontId="19" fillId="32" borderId="76" xfId="0" applyFont="1" applyFill="1" applyBorder="1"/>
    <xf numFmtId="0" fontId="19" fillId="32" borderId="14" xfId="0" applyFont="1" applyFill="1" applyBorder="1"/>
    <xf numFmtId="0" fontId="19" fillId="32" borderId="72" xfId="0" applyFont="1" applyFill="1" applyBorder="1"/>
    <xf numFmtId="0" fontId="19" fillId="32" borderId="84" xfId="0" applyFont="1" applyFill="1" applyBorder="1"/>
    <xf numFmtId="0" fontId="19" fillId="33" borderId="3" xfId="0" applyFont="1" applyFill="1" applyBorder="1"/>
    <xf numFmtId="0" fontId="19" fillId="33" borderId="86" xfId="0" applyFont="1" applyFill="1" applyBorder="1"/>
    <xf numFmtId="0" fontId="19" fillId="33" borderId="35" xfId="0" applyFont="1" applyFill="1" applyBorder="1"/>
    <xf numFmtId="1" fontId="0" fillId="10" borderId="10" xfId="0" applyNumberFormat="1" applyFill="1" applyBorder="1"/>
    <xf numFmtId="0" fontId="19" fillId="0" borderId="0" xfId="0" applyFont="1"/>
    <xf numFmtId="0" fontId="1" fillId="25" borderId="87" xfId="0" applyFont="1" applyFill="1" applyBorder="1" applyAlignment="1">
      <alignment horizontal="center"/>
    </xf>
    <xf numFmtId="0" fontId="0" fillId="16" borderId="88" xfId="0" applyFill="1" applyBorder="1"/>
    <xf numFmtId="0" fontId="0" fillId="16" borderId="89" xfId="0" applyFill="1" applyBorder="1"/>
    <xf numFmtId="0" fontId="0" fillId="16" borderId="87" xfId="0" applyFill="1" applyBorder="1"/>
    <xf numFmtId="0" fontId="0" fillId="34" borderId="0" xfId="0" applyFill="1"/>
    <xf numFmtId="0" fontId="2" fillId="34" borderId="0" xfId="0" applyFont="1" applyFill="1" applyAlignment="1">
      <alignment horizontal="center"/>
    </xf>
    <xf numFmtId="0" fontId="1" fillId="34" borderId="0" xfId="0" applyFont="1" applyFill="1" applyAlignment="1">
      <alignment horizontal="center"/>
    </xf>
    <xf numFmtId="0" fontId="17" fillId="15" borderId="1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7" fillId="15" borderId="90" xfId="0" applyFont="1" applyFill="1" applyBorder="1"/>
    <xf numFmtId="2" fontId="17" fillId="15" borderId="90" xfId="0" applyNumberFormat="1" applyFont="1" applyFill="1" applyBorder="1"/>
    <xf numFmtId="1" fontId="0" fillId="10" borderId="66" xfId="0" applyNumberFormat="1" applyFill="1" applyBorder="1"/>
    <xf numFmtId="1" fontId="0" fillId="12" borderId="8" xfId="0" applyNumberFormat="1" applyFill="1" applyBorder="1"/>
    <xf numFmtId="1" fontId="0" fillId="12" borderId="10" xfId="0" applyNumberFormat="1" applyFill="1" applyBorder="1"/>
    <xf numFmtId="1" fontId="0" fillId="13" borderId="8" xfId="0" applyNumberFormat="1" applyFill="1" applyBorder="1"/>
    <xf numFmtId="1" fontId="0" fillId="13" borderId="10" xfId="0" applyNumberFormat="1" applyFill="1" applyBorder="1"/>
    <xf numFmtId="1" fontId="0" fillId="13" borderId="13" xfId="0" applyNumberFormat="1" applyFill="1" applyBorder="1"/>
    <xf numFmtId="0" fontId="20" fillId="0" borderId="0" xfId="0" applyFont="1"/>
    <xf numFmtId="22" fontId="20" fillId="0" borderId="0" xfId="0" applyNumberFormat="1" applyFont="1"/>
    <xf numFmtId="3" fontId="20" fillId="0" borderId="0" xfId="0" applyNumberFormat="1" applyFont="1"/>
    <xf numFmtId="1" fontId="0" fillId="0" borderId="0" xfId="0" applyNumberFormat="1"/>
    <xf numFmtId="0" fontId="17" fillId="29" borderId="75" xfId="0" applyFont="1" applyFill="1" applyBorder="1" applyAlignment="1">
      <alignment horizontal="center"/>
    </xf>
    <xf numFmtId="0" fontId="17" fillId="29" borderId="76" xfId="0" applyFont="1" applyFill="1" applyBorder="1" applyAlignment="1">
      <alignment horizontal="center"/>
    </xf>
    <xf numFmtId="0" fontId="0" fillId="16" borderId="69" xfId="0" applyFill="1" applyBorder="1" applyAlignment="1">
      <alignment horizontal="center"/>
    </xf>
    <xf numFmtId="0" fontId="0" fillId="16" borderId="70" xfId="0" applyFill="1" applyBorder="1" applyAlignment="1">
      <alignment horizontal="center"/>
    </xf>
    <xf numFmtId="0" fontId="2" fillId="20" borderId="53" xfId="0" applyFont="1" applyFill="1" applyBorder="1" applyAlignment="1">
      <alignment horizontal="center"/>
    </xf>
    <xf numFmtId="0" fontId="2" fillId="20" borderId="54" xfId="0" applyFont="1" applyFill="1" applyBorder="1" applyAlignment="1">
      <alignment horizontal="center"/>
    </xf>
    <xf numFmtId="0" fontId="2" fillId="21" borderId="53" xfId="0" applyFont="1" applyFill="1" applyBorder="1" applyAlignment="1">
      <alignment horizontal="center"/>
    </xf>
    <xf numFmtId="0" fontId="2" fillId="21" borderId="54" xfId="0" applyFont="1" applyFill="1" applyBorder="1" applyAlignment="1">
      <alignment horizontal="center"/>
    </xf>
    <xf numFmtId="0" fontId="2" fillId="22" borderId="53" xfId="0" applyFont="1" applyFill="1" applyBorder="1" applyAlignment="1">
      <alignment horizontal="center"/>
    </xf>
    <xf numFmtId="0" fontId="2" fillId="22" borderId="54" xfId="0" applyFont="1" applyFill="1" applyBorder="1" applyAlignment="1">
      <alignment horizontal="center"/>
    </xf>
    <xf numFmtId="0" fontId="2" fillId="25" borderId="53" xfId="0" applyFont="1" applyFill="1" applyBorder="1" applyAlignment="1">
      <alignment horizontal="center"/>
    </xf>
    <xf numFmtId="0" fontId="2" fillId="25" borderId="54" xfId="0" applyFont="1" applyFill="1" applyBorder="1" applyAlignment="1">
      <alignment horizontal="center"/>
    </xf>
    <xf numFmtId="0" fontId="10" fillId="17" borderId="25" xfId="0" applyFont="1" applyFill="1" applyBorder="1" applyAlignment="1">
      <alignment vertical="center"/>
    </xf>
    <xf numFmtId="0" fontId="10" fillId="17" borderId="31" xfId="0" applyFont="1" applyFill="1" applyBorder="1" applyAlignment="1">
      <alignment vertical="center"/>
    </xf>
    <xf numFmtId="0" fontId="10" fillId="17" borderId="28" xfId="0" applyFont="1" applyFill="1" applyBorder="1" applyAlignment="1">
      <alignment vertical="center"/>
    </xf>
    <xf numFmtId="0" fontId="10" fillId="17" borderId="26" xfId="0" applyFont="1" applyFill="1" applyBorder="1"/>
    <xf numFmtId="0" fontId="10" fillId="17" borderId="0" xfId="0" applyFont="1" applyFill="1"/>
    <xf numFmtId="0" fontId="10" fillId="17" borderId="29" xfId="0" applyFont="1" applyFill="1" applyBorder="1"/>
    <xf numFmtId="22" fontId="10" fillId="17" borderId="27" xfId="0" applyNumberFormat="1" applyFont="1" applyFill="1" applyBorder="1"/>
    <xf numFmtId="22" fontId="10" fillId="17" borderId="32" xfId="0" applyNumberFormat="1" applyFont="1" applyFill="1" applyBorder="1"/>
    <xf numFmtId="22" fontId="10" fillId="17" borderId="30" xfId="0" applyNumberFormat="1" applyFont="1" applyFill="1" applyBorder="1"/>
    <xf numFmtId="0" fontId="10" fillId="16" borderId="25" xfId="0" applyFont="1" applyFill="1" applyBorder="1" applyAlignment="1">
      <alignment vertical="center"/>
    </xf>
    <xf numFmtId="0" fontId="10" fillId="16" borderId="28" xfId="0" applyFont="1" applyFill="1" applyBorder="1" applyAlignment="1">
      <alignment vertical="center"/>
    </xf>
    <xf numFmtId="0" fontId="10" fillId="16" borderId="26" xfId="0" applyFont="1" applyFill="1" applyBorder="1"/>
    <xf numFmtId="0" fontId="10" fillId="16" borderId="29" xfId="0" applyFont="1" applyFill="1" applyBorder="1"/>
    <xf numFmtId="22" fontId="10" fillId="16" borderId="27" xfId="0" applyNumberFormat="1" applyFont="1" applyFill="1" applyBorder="1"/>
    <xf numFmtId="22" fontId="10" fillId="16" borderId="30" xfId="0" applyNumberFormat="1" applyFont="1" applyFill="1" applyBorder="1"/>
    <xf numFmtId="0" fontId="10" fillId="16" borderId="31" xfId="0" applyFont="1" applyFill="1" applyBorder="1" applyAlignment="1">
      <alignment vertical="center"/>
    </xf>
    <xf numFmtId="0" fontId="10" fillId="16" borderId="0" xfId="0" applyFont="1" applyFill="1"/>
    <xf numFmtId="22" fontId="10" fillId="16" borderId="32" xfId="0" applyNumberFormat="1" applyFont="1" applyFill="1" applyBorder="1"/>
  </cellXfs>
  <cellStyles count="3">
    <cellStyle name="Currency" xfId="2" builtinId="4"/>
    <cellStyle name="Normal" xfId="0" builtinId="0"/>
    <cellStyle name="Percent" xfId="1" builtinId="5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89090"/>
      <color rgb="FFCE41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61" Type="http://schemas.openxmlformats.org/officeDocument/2006/relationships/worksheet" Target="worksheets/sheet61.xml"/><Relationship Id="rId8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'10.17.2022'!$L$59:$L$84</c:f>
              <c:numCache>
                <c:formatCode>General</c:formatCode>
                <c:ptCount val="26"/>
                <c:pt idx="0">
                  <c:v>0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F-1C42-8E84-AB943ADCFF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'10.17.2022'!$M$59:$M$84</c:f>
              <c:numCache>
                <c:formatCode>General</c:formatCode>
                <c:ptCount val="26"/>
                <c:pt idx="0">
                  <c:v>0</c:v>
                </c:pt>
                <c:pt idx="1">
                  <c:v>-400</c:v>
                </c:pt>
                <c:pt idx="2">
                  <c:v>200</c:v>
                </c:pt>
                <c:pt idx="3">
                  <c:v>800</c:v>
                </c:pt>
                <c:pt idx="4">
                  <c:v>1400</c:v>
                </c:pt>
                <c:pt idx="5">
                  <c:v>2000</c:v>
                </c:pt>
                <c:pt idx="6">
                  <c:v>2600</c:v>
                </c:pt>
                <c:pt idx="7">
                  <c:v>3200</c:v>
                </c:pt>
                <c:pt idx="8">
                  <c:v>3800</c:v>
                </c:pt>
                <c:pt idx="9">
                  <c:v>4400</c:v>
                </c:pt>
                <c:pt idx="10">
                  <c:v>5000</c:v>
                </c:pt>
                <c:pt idx="11">
                  <c:v>5600</c:v>
                </c:pt>
                <c:pt idx="12">
                  <c:v>6200</c:v>
                </c:pt>
                <c:pt idx="13">
                  <c:v>6800</c:v>
                </c:pt>
                <c:pt idx="14">
                  <c:v>7400</c:v>
                </c:pt>
                <c:pt idx="15">
                  <c:v>8000</c:v>
                </c:pt>
                <c:pt idx="16">
                  <c:v>8600</c:v>
                </c:pt>
                <c:pt idx="17">
                  <c:v>9200</c:v>
                </c:pt>
                <c:pt idx="18">
                  <c:v>9800</c:v>
                </c:pt>
                <c:pt idx="19">
                  <c:v>10400</c:v>
                </c:pt>
                <c:pt idx="20">
                  <c:v>11000</c:v>
                </c:pt>
                <c:pt idx="21">
                  <c:v>11600</c:v>
                </c:pt>
                <c:pt idx="22">
                  <c:v>12200</c:v>
                </c:pt>
                <c:pt idx="23">
                  <c:v>12800</c:v>
                </c:pt>
                <c:pt idx="24">
                  <c:v>13400</c:v>
                </c:pt>
                <c:pt idx="25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F-1C42-8E84-AB943ADCFF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'10.17.2022'!$N$59:$N$84</c:f>
              <c:numCache>
                <c:formatCode>General</c:formatCode>
                <c:ptCount val="26"/>
                <c:pt idx="0">
                  <c:v>0</c:v>
                </c:pt>
                <c:pt idx="1">
                  <c:v>-500</c:v>
                </c:pt>
                <c:pt idx="2">
                  <c:v>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7000</c:v>
                </c:pt>
                <c:pt idx="17">
                  <c:v>7500</c:v>
                </c:pt>
                <c:pt idx="18">
                  <c:v>8000</c:v>
                </c:pt>
                <c:pt idx="19">
                  <c:v>8500</c:v>
                </c:pt>
                <c:pt idx="20">
                  <c:v>9000</c:v>
                </c:pt>
                <c:pt idx="21">
                  <c:v>9500</c:v>
                </c:pt>
                <c:pt idx="22">
                  <c:v>10000</c:v>
                </c:pt>
                <c:pt idx="23">
                  <c:v>10500</c:v>
                </c:pt>
                <c:pt idx="24">
                  <c:v>11000</c:v>
                </c:pt>
                <c:pt idx="25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F-1C42-8E84-AB943ADCFF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'10.17.2022'!$O$59:$O$84</c:f>
              <c:numCache>
                <c:formatCode>General</c:formatCode>
                <c:ptCount val="26"/>
                <c:pt idx="0">
                  <c:v>0</c:v>
                </c:pt>
                <c:pt idx="1">
                  <c:v>-600</c:v>
                </c:pt>
                <c:pt idx="2">
                  <c:v>-200</c:v>
                </c:pt>
                <c:pt idx="3">
                  <c:v>200</c:v>
                </c:pt>
                <c:pt idx="4">
                  <c:v>600</c:v>
                </c:pt>
                <c:pt idx="5">
                  <c:v>1000</c:v>
                </c:pt>
                <c:pt idx="6">
                  <c:v>1400</c:v>
                </c:pt>
                <c:pt idx="7">
                  <c:v>1800</c:v>
                </c:pt>
                <c:pt idx="8">
                  <c:v>2200</c:v>
                </c:pt>
                <c:pt idx="9">
                  <c:v>2600</c:v>
                </c:pt>
                <c:pt idx="10">
                  <c:v>3000</c:v>
                </c:pt>
                <c:pt idx="11">
                  <c:v>3400</c:v>
                </c:pt>
                <c:pt idx="12">
                  <c:v>3800</c:v>
                </c:pt>
                <c:pt idx="13">
                  <c:v>4200</c:v>
                </c:pt>
                <c:pt idx="14">
                  <c:v>4600</c:v>
                </c:pt>
                <c:pt idx="15">
                  <c:v>5000</c:v>
                </c:pt>
                <c:pt idx="16">
                  <c:v>5400</c:v>
                </c:pt>
                <c:pt idx="17">
                  <c:v>5800</c:v>
                </c:pt>
                <c:pt idx="18">
                  <c:v>6200</c:v>
                </c:pt>
                <c:pt idx="19">
                  <c:v>6600</c:v>
                </c:pt>
                <c:pt idx="20">
                  <c:v>7000</c:v>
                </c:pt>
                <c:pt idx="21">
                  <c:v>7400</c:v>
                </c:pt>
                <c:pt idx="22">
                  <c:v>7800</c:v>
                </c:pt>
                <c:pt idx="23">
                  <c:v>8200</c:v>
                </c:pt>
                <c:pt idx="24">
                  <c:v>8600</c:v>
                </c:pt>
                <c:pt idx="25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F-1C42-8E84-AB943ADCFFC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'10.17.2022'!$P$59:$P$84</c:f>
              <c:numCache>
                <c:formatCode>General</c:formatCode>
                <c:ptCount val="26"/>
                <c:pt idx="0">
                  <c:v>0</c:v>
                </c:pt>
                <c:pt idx="1">
                  <c:v>-700</c:v>
                </c:pt>
                <c:pt idx="2">
                  <c:v>-400</c:v>
                </c:pt>
                <c:pt idx="3">
                  <c:v>-100</c:v>
                </c:pt>
                <c:pt idx="4">
                  <c:v>200</c:v>
                </c:pt>
                <c:pt idx="5">
                  <c:v>500</c:v>
                </c:pt>
                <c:pt idx="6">
                  <c:v>800</c:v>
                </c:pt>
                <c:pt idx="7">
                  <c:v>1100</c:v>
                </c:pt>
                <c:pt idx="8">
                  <c:v>1400</c:v>
                </c:pt>
                <c:pt idx="9">
                  <c:v>1700</c:v>
                </c:pt>
                <c:pt idx="10">
                  <c:v>2000</c:v>
                </c:pt>
                <c:pt idx="11">
                  <c:v>2300</c:v>
                </c:pt>
                <c:pt idx="12">
                  <c:v>2600</c:v>
                </c:pt>
                <c:pt idx="13">
                  <c:v>2900</c:v>
                </c:pt>
                <c:pt idx="14">
                  <c:v>3200</c:v>
                </c:pt>
                <c:pt idx="15">
                  <c:v>3500</c:v>
                </c:pt>
                <c:pt idx="16">
                  <c:v>3800</c:v>
                </c:pt>
                <c:pt idx="17">
                  <c:v>4100</c:v>
                </c:pt>
                <c:pt idx="18">
                  <c:v>4400</c:v>
                </c:pt>
                <c:pt idx="19">
                  <c:v>4700</c:v>
                </c:pt>
                <c:pt idx="20">
                  <c:v>5000</c:v>
                </c:pt>
                <c:pt idx="21">
                  <c:v>5300</c:v>
                </c:pt>
                <c:pt idx="22">
                  <c:v>5600</c:v>
                </c:pt>
                <c:pt idx="23">
                  <c:v>5900</c:v>
                </c:pt>
                <c:pt idx="24">
                  <c:v>6200</c:v>
                </c:pt>
                <c:pt idx="25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F-1C42-8E84-AB943ADCFFC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'10.17.2022'!$Q$59:$Q$84</c:f>
              <c:numCache>
                <c:formatCode>General</c:formatCode>
                <c:ptCount val="26"/>
                <c:pt idx="0">
                  <c:v>0</c:v>
                </c:pt>
                <c:pt idx="1">
                  <c:v>-800</c:v>
                </c:pt>
                <c:pt idx="2">
                  <c:v>-600</c:v>
                </c:pt>
                <c:pt idx="3">
                  <c:v>-400</c:v>
                </c:pt>
                <c:pt idx="4">
                  <c:v>-200</c:v>
                </c:pt>
                <c:pt idx="5">
                  <c:v>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1200</c:v>
                </c:pt>
                <c:pt idx="12">
                  <c:v>1400</c:v>
                </c:pt>
                <c:pt idx="13">
                  <c:v>1600</c:v>
                </c:pt>
                <c:pt idx="14">
                  <c:v>1800</c:v>
                </c:pt>
                <c:pt idx="15">
                  <c:v>2000</c:v>
                </c:pt>
                <c:pt idx="16">
                  <c:v>2200</c:v>
                </c:pt>
                <c:pt idx="17">
                  <c:v>2400</c:v>
                </c:pt>
                <c:pt idx="18">
                  <c:v>2600</c:v>
                </c:pt>
                <c:pt idx="19">
                  <c:v>2800</c:v>
                </c:pt>
                <c:pt idx="20">
                  <c:v>3000</c:v>
                </c:pt>
                <c:pt idx="21">
                  <c:v>3200</c:v>
                </c:pt>
                <c:pt idx="22">
                  <c:v>3400</c:v>
                </c:pt>
                <c:pt idx="23">
                  <c:v>3600</c:v>
                </c:pt>
                <c:pt idx="24">
                  <c:v>3800</c:v>
                </c:pt>
                <c:pt idx="25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DF-1C42-8E84-AB943ADCFFC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'10.17.2022'!$R$59:$R$84</c:f>
              <c:numCache>
                <c:formatCode>General</c:formatCode>
                <c:ptCount val="26"/>
                <c:pt idx="0">
                  <c:v>0</c:v>
                </c:pt>
                <c:pt idx="1">
                  <c:v>-900</c:v>
                </c:pt>
                <c:pt idx="2">
                  <c:v>-800</c:v>
                </c:pt>
                <c:pt idx="3">
                  <c:v>-700</c:v>
                </c:pt>
                <c:pt idx="4">
                  <c:v>-600</c:v>
                </c:pt>
                <c:pt idx="5">
                  <c:v>-500</c:v>
                </c:pt>
                <c:pt idx="6">
                  <c:v>-400</c:v>
                </c:pt>
                <c:pt idx="7">
                  <c:v>-300</c:v>
                </c:pt>
                <c:pt idx="8">
                  <c:v>-200</c:v>
                </c:pt>
                <c:pt idx="9">
                  <c:v>-100</c:v>
                </c:pt>
                <c:pt idx="10">
                  <c:v>0</c:v>
                </c:pt>
                <c:pt idx="11">
                  <c:v>100</c:v>
                </c:pt>
                <c:pt idx="12">
                  <c:v>200</c:v>
                </c:pt>
                <c:pt idx="13">
                  <c:v>300</c:v>
                </c:pt>
                <c:pt idx="14">
                  <c:v>400</c:v>
                </c:pt>
                <c:pt idx="15">
                  <c:v>500</c:v>
                </c:pt>
                <c:pt idx="16">
                  <c:v>600</c:v>
                </c:pt>
                <c:pt idx="17">
                  <c:v>700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1100</c:v>
                </c:pt>
                <c:pt idx="22">
                  <c:v>1200</c:v>
                </c:pt>
                <c:pt idx="23">
                  <c:v>1300</c:v>
                </c:pt>
                <c:pt idx="24">
                  <c:v>1400</c:v>
                </c:pt>
                <c:pt idx="25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DF-1C42-8E84-AB943ADC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562831"/>
        <c:axId val="664100080"/>
      </c:lineChart>
      <c:catAx>
        <c:axId val="1286562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00080"/>
        <c:crosses val="autoZero"/>
        <c:auto val="1"/>
        <c:lblAlgn val="ctr"/>
        <c:lblOffset val="100"/>
        <c:noMultiLvlLbl val="0"/>
      </c:catAx>
      <c:valAx>
        <c:axId val="6641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Margin as a Function of Sales Price and Number of Tickets Bought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'10.17.2022'!$M$59</c:f>
              <c:strCache>
                <c:ptCount val="1"/>
                <c:pt idx="0">
                  <c:v>Eight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'10.17.2022'!$M$60:$M$84</c:f>
              <c:numCache>
                <c:formatCode>General</c:formatCode>
                <c:ptCount val="25"/>
                <c:pt idx="0">
                  <c:v>-400</c:v>
                </c:pt>
                <c:pt idx="1">
                  <c:v>200</c:v>
                </c:pt>
                <c:pt idx="2">
                  <c:v>800</c:v>
                </c:pt>
                <c:pt idx="3">
                  <c:v>1400</c:v>
                </c:pt>
                <c:pt idx="4">
                  <c:v>2000</c:v>
                </c:pt>
                <c:pt idx="5">
                  <c:v>2600</c:v>
                </c:pt>
                <c:pt idx="6">
                  <c:v>3200</c:v>
                </c:pt>
                <c:pt idx="7">
                  <c:v>3800</c:v>
                </c:pt>
                <c:pt idx="8">
                  <c:v>4400</c:v>
                </c:pt>
                <c:pt idx="9">
                  <c:v>5000</c:v>
                </c:pt>
                <c:pt idx="10">
                  <c:v>5600</c:v>
                </c:pt>
                <c:pt idx="11">
                  <c:v>6200</c:v>
                </c:pt>
                <c:pt idx="12">
                  <c:v>6800</c:v>
                </c:pt>
                <c:pt idx="13">
                  <c:v>7400</c:v>
                </c:pt>
                <c:pt idx="14">
                  <c:v>8000</c:v>
                </c:pt>
                <c:pt idx="15">
                  <c:v>8600</c:v>
                </c:pt>
                <c:pt idx="16">
                  <c:v>9200</c:v>
                </c:pt>
                <c:pt idx="17">
                  <c:v>9800</c:v>
                </c:pt>
                <c:pt idx="18">
                  <c:v>10400</c:v>
                </c:pt>
                <c:pt idx="19">
                  <c:v>11000</c:v>
                </c:pt>
                <c:pt idx="20">
                  <c:v>11600</c:v>
                </c:pt>
                <c:pt idx="21">
                  <c:v>12200</c:v>
                </c:pt>
                <c:pt idx="22">
                  <c:v>12800</c:v>
                </c:pt>
                <c:pt idx="23">
                  <c:v>13400</c:v>
                </c:pt>
                <c:pt idx="24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5-694D-8988-4E4A8BFAC490}"/>
            </c:ext>
          </c:extLst>
        </c:ser>
        <c:ser>
          <c:idx val="2"/>
          <c:order val="1"/>
          <c:tx>
            <c:strRef>
              <c:f>'10.17.2022'!$N$59</c:f>
              <c:strCache>
                <c:ptCount val="1"/>
                <c:pt idx="0">
                  <c:v>Seven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'10.17.2022'!$N$60:$N$84</c:f>
              <c:numCache>
                <c:formatCode>General</c:formatCode>
                <c:ptCount val="25"/>
                <c:pt idx="0">
                  <c:v>-500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10500</c:v>
                </c:pt>
                <c:pt idx="23">
                  <c:v>11000</c:v>
                </c:pt>
                <c:pt idx="24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5-694D-8988-4E4A8BFAC490}"/>
            </c:ext>
          </c:extLst>
        </c:ser>
        <c:ser>
          <c:idx val="3"/>
          <c:order val="2"/>
          <c:tx>
            <c:strRef>
              <c:f>'10.17.2022'!$O$59</c:f>
              <c:strCache>
                <c:ptCount val="1"/>
                <c:pt idx="0">
                  <c:v>Six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'10.17.2022'!$O$60:$O$84</c:f>
              <c:numCache>
                <c:formatCode>General</c:formatCode>
                <c:ptCount val="25"/>
                <c:pt idx="0">
                  <c:v>-600</c:v>
                </c:pt>
                <c:pt idx="1">
                  <c:v>-200</c:v>
                </c:pt>
                <c:pt idx="2">
                  <c:v>200</c:v>
                </c:pt>
                <c:pt idx="3">
                  <c:v>600</c:v>
                </c:pt>
                <c:pt idx="4">
                  <c:v>1000</c:v>
                </c:pt>
                <c:pt idx="5">
                  <c:v>1400</c:v>
                </c:pt>
                <c:pt idx="6">
                  <c:v>1800</c:v>
                </c:pt>
                <c:pt idx="7">
                  <c:v>2200</c:v>
                </c:pt>
                <c:pt idx="8">
                  <c:v>2600</c:v>
                </c:pt>
                <c:pt idx="9">
                  <c:v>3000</c:v>
                </c:pt>
                <c:pt idx="10">
                  <c:v>3400</c:v>
                </c:pt>
                <c:pt idx="11">
                  <c:v>3800</c:v>
                </c:pt>
                <c:pt idx="12">
                  <c:v>4200</c:v>
                </c:pt>
                <c:pt idx="13">
                  <c:v>4600</c:v>
                </c:pt>
                <c:pt idx="14">
                  <c:v>5000</c:v>
                </c:pt>
                <c:pt idx="15">
                  <c:v>5400</c:v>
                </c:pt>
                <c:pt idx="16">
                  <c:v>5800</c:v>
                </c:pt>
                <c:pt idx="17">
                  <c:v>6200</c:v>
                </c:pt>
                <c:pt idx="18">
                  <c:v>6600</c:v>
                </c:pt>
                <c:pt idx="19">
                  <c:v>7000</c:v>
                </c:pt>
                <c:pt idx="20">
                  <c:v>7400</c:v>
                </c:pt>
                <c:pt idx="21">
                  <c:v>7800</c:v>
                </c:pt>
                <c:pt idx="22">
                  <c:v>8200</c:v>
                </c:pt>
                <c:pt idx="23">
                  <c:v>8600</c:v>
                </c:pt>
                <c:pt idx="24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F5-694D-8988-4E4A8BFAC490}"/>
            </c:ext>
          </c:extLst>
        </c:ser>
        <c:ser>
          <c:idx val="4"/>
          <c:order val="3"/>
          <c:tx>
            <c:strRef>
              <c:f>'10.17.2022'!$P$59</c:f>
              <c:strCache>
                <c:ptCount val="1"/>
                <c:pt idx="0">
                  <c:v>Five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'10.17.2022'!$P$60:$P$84</c:f>
              <c:numCache>
                <c:formatCode>General</c:formatCode>
                <c:ptCount val="25"/>
                <c:pt idx="0">
                  <c:v>-700</c:v>
                </c:pt>
                <c:pt idx="1">
                  <c:v>-400</c:v>
                </c:pt>
                <c:pt idx="2">
                  <c:v>-100</c:v>
                </c:pt>
                <c:pt idx="3">
                  <c:v>200</c:v>
                </c:pt>
                <c:pt idx="4">
                  <c:v>500</c:v>
                </c:pt>
                <c:pt idx="5">
                  <c:v>800</c:v>
                </c:pt>
                <c:pt idx="6">
                  <c:v>1100</c:v>
                </c:pt>
                <c:pt idx="7">
                  <c:v>1400</c:v>
                </c:pt>
                <c:pt idx="8">
                  <c:v>1700</c:v>
                </c:pt>
                <c:pt idx="9">
                  <c:v>2000</c:v>
                </c:pt>
                <c:pt idx="10">
                  <c:v>2300</c:v>
                </c:pt>
                <c:pt idx="11">
                  <c:v>2600</c:v>
                </c:pt>
                <c:pt idx="12">
                  <c:v>2900</c:v>
                </c:pt>
                <c:pt idx="13">
                  <c:v>3200</c:v>
                </c:pt>
                <c:pt idx="14">
                  <c:v>3500</c:v>
                </c:pt>
                <c:pt idx="15">
                  <c:v>3800</c:v>
                </c:pt>
                <c:pt idx="16">
                  <c:v>4100</c:v>
                </c:pt>
                <c:pt idx="17">
                  <c:v>4400</c:v>
                </c:pt>
                <c:pt idx="18">
                  <c:v>4700</c:v>
                </c:pt>
                <c:pt idx="19">
                  <c:v>5000</c:v>
                </c:pt>
                <c:pt idx="20">
                  <c:v>5300</c:v>
                </c:pt>
                <c:pt idx="21">
                  <c:v>5600</c:v>
                </c:pt>
                <c:pt idx="22">
                  <c:v>5900</c:v>
                </c:pt>
                <c:pt idx="23">
                  <c:v>6200</c:v>
                </c:pt>
                <c:pt idx="24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F5-694D-8988-4E4A8BFAC490}"/>
            </c:ext>
          </c:extLst>
        </c:ser>
        <c:ser>
          <c:idx val="5"/>
          <c:order val="4"/>
          <c:tx>
            <c:strRef>
              <c:f>'10.17.2022'!$Q$59</c:f>
              <c:strCache>
                <c:ptCount val="1"/>
                <c:pt idx="0">
                  <c:v>Four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'10.17.2022'!$Q$60:$Q$84</c:f>
              <c:numCache>
                <c:formatCode>General</c:formatCode>
                <c:ptCount val="25"/>
                <c:pt idx="0">
                  <c:v>-800</c:v>
                </c:pt>
                <c:pt idx="1">
                  <c:v>-600</c:v>
                </c:pt>
                <c:pt idx="2">
                  <c:v>-400</c:v>
                </c:pt>
                <c:pt idx="3">
                  <c:v>-200</c:v>
                </c:pt>
                <c:pt idx="4">
                  <c:v>0</c:v>
                </c:pt>
                <c:pt idx="5">
                  <c:v>200</c:v>
                </c:pt>
                <c:pt idx="6">
                  <c:v>400</c:v>
                </c:pt>
                <c:pt idx="7">
                  <c:v>600</c:v>
                </c:pt>
                <c:pt idx="8">
                  <c:v>800</c:v>
                </c:pt>
                <c:pt idx="9">
                  <c:v>1000</c:v>
                </c:pt>
                <c:pt idx="10">
                  <c:v>1200</c:v>
                </c:pt>
                <c:pt idx="11">
                  <c:v>1400</c:v>
                </c:pt>
                <c:pt idx="12">
                  <c:v>1600</c:v>
                </c:pt>
                <c:pt idx="13">
                  <c:v>1800</c:v>
                </c:pt>
                <c:pt idx="14">
                  <c:v>2000</c:v>
                </c:pt>
                <c:pt idx="15">
                  <c:v>2200</c:v>
                </c:pt>
                <c:pt idx="16">
                  <c:v>2400</c:v>
                </c:pt>
                <c:pt idx="17">
                  <c:v>2600</c:v>
                </c:pt>
                <c:pt idx="18">
                  <c:v>2800</c:v>
                </c:pt>
                <c:pt idx="19">
                  <c:v>3000</c:v>
                </c:pt>
                <c:pt idx="20">
                  <c:v>3200</c:v>
                </c:pt>
                <c:pt idx="21">
                  <c:v>3400</c:v>
                </c:pt>
                <c:pt idx="22">
                  <c:v>3600</c:v>
                </c:pt>
                <c:pt idx="23">
                  <c:v>3800</c:v>
                </c:pt>
                <c:pt idx="24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F5-694D-8988-4E4A8BFAC490}"/>
            </c:ext>
          </c:extLst>
        </c:ser>
        <c:ser>
          <c:idx val="6"/>
          <c:order val="5"/>
          <c:tx>
            <c:strRef>
              <c:f>'10.17.2022'!$R$59</c:f>
              <c:strCache>
                <c:ptCount val="1"/>
                <c:pt idx="0">
                  <c:v>Three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'10.17.2022'!$R$60:$R$84</c:f>
              <c:numCache>
                <c:formatCode>General</c:formatCode>
                <c:ptCount val="25"/>
                <c:pt idx="0">
                  <c:v>-900</c:v>
                </c:pt>
                <c:pt idx="1">
                  <c:v>-800</c:v>
                </c:pt>
                <c:pt idx="2">
                  <c:v>-700</c:v>
                </c:pt>
                <c:pt idx="3">
                  <c:v>-600</c:v>
                </c:pt>
                <c:pt idx="4">
                  <c:v>-500</c:v>
                </c:pt>
                <c:pt idx="5">
                  <c:v>-400</c:v>
                </c:pt>
                <c:pt idx="6">
                  <c:v>-300</c:v>
                </c:pt>
                <c:pt idx="7">
                  <c:v>-200</c:v>
                </c:pt>
                <c:pt idx="8">
                  <c:v>-100</c:v>
                </c:pt>
                <c:pt idx="9">
                  <c:v>0</c:v>
                </c:pt>
                <c:pt idx="10">
                  <c:v>100</c:v>
                </c:pt>
                <c:pt idx="11">
                  <c:v>200</c:v>
                </c:pt>
                <c:pt idx="12">
                  <c:v>300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5-694D-8988-4E4A8BFAC4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7358111"/>
        <c:axId val="1524245631"/>
      </c:lineChart>
      <c:catAx>
        <c:axId val="12673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45631"/>
        <c:crosses val="autoZero"/>
        <c:auto val="1"/>
        <c:lblAlgn val="ctr"/>
        <c:lblOffset val="100"/>
        <c:noMultiLvlLbl val="0"/>
      </c:catAx>
      <c:valAx>
        <c:axId val="15242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58111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6036394521304072E-2"/>
          <c:y val="8.2517096031653484E-2"/>
          <c:w val="0.10944749017317426"/>
          <c:h val="0.445989633867715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72.png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495300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52888-7F8E-0640-9B6A-5F3038A4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0" y="419100"/>
          <a:ext cx="3797300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11</xdr:col>
      <xdr:colOff>596900</xdr:colOff>
      <xdr:row>16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D59CA-2F9A-2B4C-8F19-BCDAF340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76300"/>
          <a:ext cx="3898900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711200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39A02-6F93-EB44-8A68-DD60FC37B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419100"/>
          <a:ext cx="40132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520700</xdr:colOff>
      <xdr:row>13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726B56-8F51-8843-8C03-F6E8E491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203200"/>
          <a:ext cx="3822700" cy="25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177800</xdr:rowOff>
    </xdr:from>
    <xdr:to>
      <xdr:col>11</xdr:col>
      <xdr:colOff>584200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75D8A-719B-B344-B112-7F0F9521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84200"/>
          <a:ext cx="3886200" cy="259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177800</xdr:rowOff>
    </xdr:from>
    <xdr:to>
      <xdr:col>11</xdr:col>
      <xdr:colOff>546100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02A0B-4B2F-2F4F-8847-F5B8C471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584200"/>
          <a:ext cx="3848100" cy="2603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16</xdr:col>
      <xdr:colOff>711200</xdr:colOff>
      <xdr:row>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663DCE-A97A-3043-BEC9-5EA20D4A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0" y="622300"/>
          <a:ext cx="2362200" cy="609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88900</xdr:colOff>
      <xdr:row>2</xdr:row>
      <xdr:rowOff>165100</xdr:rowOff>
    </xdr:from>
    <xdr:to>
      <xdr:col>11</xdr:col>
      <xdr:colOff>673100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1F832-71ED-2840-AFB8-74FC6460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571500"/>
          <a:ext cx="3886200" cy="2616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469900</xdr:colOff>
      <xdr:row>10</xdr:row>
      <xdr:rowOff>139700</xdr:rowOff>
    </xdr:from>
    <xdr:to>
      <xdr:col>19</xdr:col>
      <xdr:colOff>393700</xdr:colOff>
      <xdr:row>22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5F4C6A-ECD3-A547-9828-A918522B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2171700"/>
          <a:ext cx="4051300" cy="2425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635000</xdr:colOff>
      <xdr:row>13</xdr:row>
      <xdr:rowOff>114300</xdr:rowOff>
    </xdr:from>
    <xdr:to>
      <xdr:col>19</xdr:col>
      <xdr:colOff>685800</xdr:colOff>
      <xdr:row>21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36AE-A5A8-1340-A11B-E38A55EA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2997200"/>
          <a:ext cx="4178300" cy="171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4</xdr:row>
      <xdr:rowOff>127000</xdr:rowOff>
    </xdr:from>
    <xdr:to>
      <xdr:col>17</xdr:col>
      <xdr:colOff>241300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7A5D13-F01D-3747-BCBF-061B52B10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553"/>
        <a:stretch/>
      </xdr:blipFill>
      <xdr:spPr>
        <a:xfrm>
          <a:off x="10477500" y="1003300"/>
          <a:ext cx="3924300" cy="1828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165100</xdr:rowOff>
    </xdr:from>
    <xdr:to>
      <xdr:col>11</xdr:col>
      <xdr:colOff>571500</xdr:colOff>
      <xdr:row>15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EBC41-B237-E348-BFF4-C88BA2AA3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71500"/>
          <a:ext cx="3898900" cy="2552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165100</xdr:rowOff>
    </xdr:from>
    <xdr:to>
      <xdr:col>11</xdr:col>
      <xdr:colOff>558800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76495-A6D6-F348-A2ED-94AC6FEA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571500"/>
          <a:ext cx="4203700" cy="2578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10</xdr:col>
      <xdr:colOff>800100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A1ABD-1803-1748-99A5-4ECD6259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3771900" cy="2552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457199</xdr:colOff>
      <xdr:row>3</xdr:row>
      <xdr:rowOff>88900</xdr:rowOff>
    </xdr:from>
    <xdr:to>
      <xdr:col>12</xdr:col>
      <xdr:colOff>30376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B3B6A-93CB-714E-8DB0-E549EBA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399" y="711200"/>
          <a:ext cx="4526177" cy="2247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2</xdr:row>
      <xdr:rowOff>177800</xdr:rowOff>
    </xdr:from>
    <xdr:to>
      <xdr:col>11</xdr:col>
      <xdr:colOff>215900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6E5388-8721-E04C-A440-6C17C7EA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584200"/>
          <a:ext cx="3822700" cy="1879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2</xdr:row>
      <xdr:rowOff>190500</xdr:rowOff>
    </xdr:from>
    <xdr:to>
      <xdr:col>15</xdr:col>
      <xdr:colOff>414824</xdr:colOff>
      <xdr:row>15</xdr:row>
      <xdr:rowOff>23876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7AEA0-9787-0D42-8939-FB54956A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596900"/>
          <a:ext cx="7158524" cy="25511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3</xdr:row>
      <xdr:rowOff>88900</xdr:rowOff>
    </xdr:from>
    <xdr:to>
      <xdr:col>15</xdr:col>
      <xdr:colOff>50800</xdr:colOff>
      <xdr:row>15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5EE7EB-49CE-0D41-94C7-63914AE97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711200"/>
          <a:ext cx="6921500" cy="2590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256822</xdr:colOff>
      <xdr:row>3</xdr:row>
      <xdr:rowOff>49388</xdr:rowOff>
    </xdr:from>
    <xdr:to>
      <xdr:col>14</xdr:col>
      <xdr:colOff>561622</xdr:colOff>
      <xdr:row>15</xdr:row>
      <xdr:rowOff>121355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18282-200A-7345-9CD3-9F638833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711" y="656166"/>
          <a:ext cx="6965244" cy="25131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536223</xdr:colOff>
      <xdr:row>6</xdr:row>
      <xdr:rowOff>56444</xdr:rowOff>
    </xdr:from>
    <xdr:to>
      <xdr:col>11</xdr:col>
      <xdr:colOff>259645</xdr:colOff>
      <xdr:row>15</xdr:row>
      <xdr:rowOff>94544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68D3C4-CC97-DC40-A89B-E236E073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6112" y="1312333"/>
          <a:ext cx="3886200" cy="18161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522111</xdr:colOff>
      <xdr:row>5</xdr:row>
      <xdr:rowOff>111478</xdr:rowOff>
    </xdr:from>
    <xdr:to>
      <xdr:col>13</xdr:col>
      <xdr:colOff>172156</xdr:colOff>
      <xdr:row>14</xdr:row>
      <xdr:rowOff>162278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06F41-9CDC-394F-8C72-7A461047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1169811"/>
          <a:ext cx="3812823" cy="18429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177800</xdr:rowOff>
    </xdr:from>
    <xdr:to>
      <xdr:col>14</xdr:col>
      <xdr:colOff>571500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1D63C-29F2-4347-8DB8-D4ABEBF86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84200"/>
          <a:ext cx="6845300" cy="2590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14</xdr:col>
      <xdr:colOff>635000</xdr:colOff>
      <xdr:row>14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2FEB86-A760-5B42-8FCF-AEFCD28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71500"/>
          <a:ext cx="6858000" cy="2527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76200</xdr:rowOff>
    </xdr:from>
    <xdr:to>
      <xdr:col>14</xdr:col>
      <xdr:colOff>558800</xdr:colOff>
      <xdr:row>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1F4C4-70F5-B741-A23F-2C05EE6D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482600"/>
          <a:ext cx="6883400" cy="2603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2</xdr:row>
      <xdr:rowOff>177800</xdr:rowOff>
    </xdr:from>
    <xdr:to>
      <xdr:col>14</xdr:col>
      <xdr:colOff>584200</xdr:colOff>
      <xdr:row>15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69EB0F-A288-0542-913F-8CD2F5CD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584200"/>
          <a:ext cx="6832600" cy="2565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571500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F4089C-E829-DD4B-8272-0900759B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6883400" cy="2565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190500</xdr:rowOff>
    </xdr:from>
    <xdr:to>
      <xdr:col>14</xdr:col>
      <xdr:colOff>569725</xdr:colOff>
      <xdr:row>15</xdr:row>
      <xdr:rowOff>42164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6BC8B-F3B5-9B41-B828-957A3E62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596900"/>
          <a:ext cx="6907025" cy="25694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14</xdr:col>
      <xdr:colOff>673100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249E0-F42F-2C4E-B3FD-73722E02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635000"/>
          <a:ext cx="6934200" cy="254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609600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C8EBAC-B5A1-DF46-89C8-7048DBC8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6985000" cy="254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203200</xdr:rowOff>
    </xdr:from>
    <xdr:to>
      <xdr:col>14</xdr:col>
      <xdr:colOff>774700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C3D46-7E96-884F-A425-C4C32F2C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09600"/>
          <a:ext cx="7124700" cy="26416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14</xdr:col>
      <xdr:colOff>685800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8F1AB-C25E-AF4C-BE0B-258748BA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09600"/>
          <a:ext cx="6921500" cy="223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2</xdr:row>
      <xdr:rowOff>203200</xdr:rowOff>
    </xdr:from>
    <xdr:to>
      <xdr:col>14</xdr:col>
      <xdr:colOff>609600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934F6C-3D0D-9244-BA5A-7FD86D69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09600"/>
          <a:ext cx="7086600" cy="223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14</xdr:col>
      <xdr:colOff>787400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1F150-93C4-FB44-875D-FDCFE7D64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086600" cy="21971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190500</xdr:rowOff>
    </xdr:from>
    <xdr:to>
      <xdr:col>15</xdr:col>
      <xdr:colOff>76200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4F7A5-875E-EF42-8373-EC8E194C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596900"/>
          <a:ext cx="7010400" cy="2222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2</xdr:row>
      <xdr:rowOff>203200</xdr:rowOff>
    </xdr:from>
    <xdr:to>
      <xdr:col>14</xdr:col>
      <xdr:colOff>800100</xdr:colOff>
      <xdr:row>13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06D72-97F2-C048-85A7-0E1234EC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6896100" cy="2209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685800</xdr:colOff>
      <xdr:row>3</xdr:row>
      <xdr:rowOff>76200</xdr:rowOff>
    </xdr:from>
    <xdr:to>
      <xdr:col>15</xdr:col>
      <xdr:colOff>254000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69874-F476-504F-A52D-5DE85605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98500"/>
          <a:ext cx="6997700" cy="223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14</xdr:col>
      <xdr:colOff>723900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78D8D0-01DA-BD41-9241-3CB1742C5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035800" cy="21717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2</xdr:row>
      <xdr:rowOff>203200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8785E-1EE1-C14F-AF63-4E839473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09600"/>
          <a:ext cx="6832600" cy="2209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152400</xdr:rowOff>
    </xdr:from>
    <xdr:to>
      <xdr:col>15</xdr:col>
      <xdr:colOff>203200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FD788-0C75-A146-B018-DF8F4575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58800"/>
          <a:ext cx="7137400" cy="2222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63E25-2D41-ED44-97F3-04A32030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7035800" cy="21971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3</xdr:row>
      <xdr:rowOff>12700</xdr:rowOff>
    </xdr:from>
    <xdr:to>
      <xdr:col>15</xdr:col>
      <xdr:colOff>152400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C828D-C2BD-7B43-9856-48E50D3AB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635000"/>
          <a:ext cx="7061200" cy="22225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14</xdr:col>
      <xdr:colOff>698500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1AD8D-D854-3C46-B0D3-B4109F01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22300"/>
          <a:ext cx="6921500" cy="21971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15</xdr:col>
      <xdr:colOff>12700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05303-3016-894A-B05A-0F61A936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84200"/>
          <a:ext cx="7048500" cy="2209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774700</xdr:colOff>
      <xdr:row>13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076C54-E31E-B046-A8F3-F31920ED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22300"/>
          <a:ext cx="7010400" cy="2247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87365-EC1A-A99D-204E-8CCBCC34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7048500" cy="22225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14</xdr:col>
      <xdr:colOff>698500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EB7E6E-B5B6-1130-8F37-1D72B391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622300"/>
          <a:ext cx="7099300" cy="2209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38100</xdr:colOff>
      <xdr:row>13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BF028-6508-0A7C-6634-5E81A570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175500" cy="21717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3</xdr:row>
      <xdr:rowOff>0</xdr:rowOff>
    </xdr:from>
    <xdr:to>
      <xdr:col>14</xdr:col>
      <xdr:colOff>241300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C37E15-78EA-5136-1DAE-B9357D43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622300"/>
          <a:ext cx="7112000" cy="2197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508F04-B2C3-08DB-68E6-888F5BE4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96900"/>
          <a:ext cx="7137400" cy="25527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1DA16-D183-2626-AFB4-8CEB5B17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09600"/>
          <a:ext cx="7124700" cy="2578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190500</xdr:rowOff>
    </xdr:from>
    <xdr:to>
      <xdr:col>15</xdr:col>
      <xdr:colOff>50800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DC00E-EC33-8D07-B646-43E1081A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7112000" cy="25654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14</xdr:col>
      <xdr:colOff>508000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7589E1-05DC-A666-C438-C1AA9E81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584200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1404E-E7D3-7D3C-3482-8E842810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34200" cy="25146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203200</xdr:rowOff>
    </xdr:from>
    <xdr:to>
      <xdr:col>14</xdr:col>
      <xdr:colOff>635000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F935C-342A-BC2B-A0F2-BF60E4D6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609600"/>
          <a:ext cx="7124700" cy="25273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190500</xdr:rowOff>
    </xdr:from>
    <xdr:to>
      <xdr:col>15</xdr:col>
      <xdr:colOff>152400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30A87-8EA2-0AEE-2BFA-CDC9CB188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96900"/>
          <a:ext cx="7099300" cy="25654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203200</xdr:rowOff>
    </xdr:from>
    <xdr:to>
      <xdr:col>14</xdr:col>
      <xdr:colOff>787400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B87F6-F2AE-1809-C2CE-08F02F76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09600"/>
          <a:ext cx="7124700" cy="25654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37E64-7BE5-FCC9-2EE5-8C1D7E09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3</xdr:row>
      <xdr:rowOff>12700</xdr:rowOff>
    </xdr:from>
    <xdr:to>
      <xdr:col>14</xdr:col>
      <xdr:colOff>635000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8607C9-822E-ADE4-52FE-7E219B19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35000"/>
          <a:ext cx="7124700" cy="25781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157DE-7248-5CCF-9B8B-718421C7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35000"/>
          <a:ext cx="7124700" cy="25908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313F8-EAFD-6183-72AD-13060E08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22300"/>
          <a:ext cx="7035800" cy="25781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0</xdr:rowOff>
    </xdr:from>
    <xdr:to>
      <xdr:col>15</xdr:col>
      <xdr:colOff>88900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FF751-9DE0-9432-7325-E2C08607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099300" cy="25654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3</xdr:row>
      <xdr:rowOff>12700</xdr:rowOff>
    </xdr:from>
    <xdr:to>
      <xdr:col>14</xdr:col>
      <xdr:colOff>723900</xdr:colOff>
      <xdr:row>15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6371C3-8F13-AD81-E79E-962C1763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35000"/>
          <a:ext cx="7086600" cy="25781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14</xdr:col>
      <xdr:colOff>711200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60D6-1512-04EF-6E94-F658024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71500"/>
          <a:ext cx="7010400" cy="2590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266700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9EA7D-4671-6648-16AB-C3FD5590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8900" y="609600"/>
          <a:ext cx="6997700" cy="25400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736600</xdr:colOff>
      <xdr:row>15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A9F7B-1AA4-CF00-A711-D75C78F7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56024-6ABA-C67D-DB7E-9C1F8ED2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22300"/>
          <a:ext cx="7200900" cy="25527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E7038-44A8-F625-DDC5-5A0B002E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09600"/>
          <a:ext cx="7124700" cy="26035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203200</xdr:rowOff>
    </xdr:from>
    <xdr:to>
      <xdr:col>15</xdr:col>
      <xdr:colOff>88900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66A2D-E9EC-0EF1-4C0F-2D28B2DB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09600"/>
          <a:ext cx="7137400" cy="23749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711200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3DF26-8BA9-0492-516E-2A683553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099300" cy="25781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15</xdr:col>
      <xdr:colOff>38100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CB628-9D50-17C3-835E-E6D9CF3F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124700" cy="25908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25400</xdr:rowOff>
    </xdr:from>
    <xdr:to>
      <xdr:col>15</xdr:col>
      <xdr:colOff>127000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40E3-47D0-142D-4622-E246ACE9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137400" cy="26035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382530</xdr:colOff>
      <xdr:row>2</xdr:row>
      <xdr:rowOff>198916</xdr:rowOff>
    </xdr:from>
    <xdr:to>
      <xdr:col>15</xdr:col>
      <xdr:colOff>58145</xdr:colOff>
      <xdr:row>15</xdr:row>
      <xdr:rowOff>140006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75994-569D-4A23-D79C-53B4E5E9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1446" y="596747"/>
          <a:ext cx="7112000" cy="2603500"/>
        </a:xfrm>
        <a:prstGeom prst="rect">
          <a:avLst/>
        </a:prstGeom>
      </xdr:spPr>
    </xdr:pic>
    <xdr:clientData/>
  </xdr:twoCellAnchor>
  <xdr:twoCellAnchor>
    <xdr:from>
      <xdr:col>1</xdr:col>
      <xdr:colOff>91807</xdr:colOff>
      <xdr:row>52</xdr:row>
      <xdr:rowOff>30603</xdr:rowOff>
    </xdr:from>
    <xdr:to>
      <xdr:col>10</xdr:col>
      <xdr:colOff>275421</xdr:colOff>
      <xdr:row>72</xdr:row>
      <xdr:rowOff>168313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2F012-370B-6695-C16B-BFFA2510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24483</xdr:colOff>
      <xdr:row>89</xdr:row>
      <xdr:rowOff>15301</xdr:rowOff>
    </xdr:from>
    <xdr:to>
      <xdr:col>12</xdr:col>
      <xdr:colOff>612048</xdr:colOff>
      <xdr:row>120</xdr:row>
      <xdr:rowOff>122409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43D1A-C3B5-EF86-2BF2-1C83244E7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3</xdr:row>
      <xdr:rowOff>0</xdr:rowOff>
    </xdr:from>
    <xdr:to>
      <xdr:col>53</xdr:col>
      <xdr:colOff>347784</xdr:colOff>
      <xdr:row>6</xdr:row>
      <xdr:rowOff>56151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51F7B-1B39-AEC7-F66F-7FD5826C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077" y="618718"/>
          <a:ext cx="7772400" cy="704751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32563</xdr:rowOff>
    </xdr:from>
    <xdr:to>
      <xdr:col>53</xdr:col>
      <xdr:colOff>347784</xdr:colOff>
      <xdr:row>10</xdr:row>
      <xdr:rowOff>63878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34EC6C-31AE-E84B-0ED3-EBDEF479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93077" y="1487093"/>
          <a:ext cx="7772400" cy="738275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770683</xdr:colOff>
      <xdr:row>11</xdr:row>
      <xdr:rowOff>130257</xdr:rowOff>
    </xdr:from>
    <xdr:to>
      <xdr:col>53</xdr:col>
      <xdr:colOff>293510</xdr:colOff>
      <xdr:row>14</xdr:row>
      <xdr:rowOff>183546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542AB-E216-5396-D662-FE352BF3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38803" y="2453163"/>
          <a:ext cx="7772400" cy="71389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53</xdr:col>
      <xdr:colOff>347784</xdr:colOff>
      <xdr:row>20</xdr:row>
      <xdr:rowOff>106605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CCA63-E0FB-78B5-BC2A-19A27F7F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93077" y="3560342"/>
          <a:ext cx="7772400" cy="770146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770684</xdr:colOff>
      <xdr:row>21</xdr:row>
      <xdr:rowOff>184530</xdr:rowOff>
    </xdr:from>
    <xdr:to>
      <xdr:col>53</xdr:col>
      <xdr:colOff>293511</xdr:colOff>
      <xdr:row>24</xdr:row>
      <xdr:rowOff>194486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CE6EE2-6F50-8B66-9622-7E186E84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38804" y="4569829"/>
          <a:ext cx="7772400" cy="670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36D0-AF78-1348-AA28-3F01FE90049F}">
  <sheetPr codeName="Sheet1"/>
  <dimension ref="B2:F22"/>
  <sheetViews>
    <sheetView showGridLines="0" workbookViewId="0">
      <selection activeCell="D3" sqref="D3"/>
    </sheetView>
  </sheetViews>
  <sheetFormatPr baseColWidth="10" defaultRowHeight="16"/>
  <cols>
    <col min="2" max="2" width="7.1640625" customWidth="1"/>
    <col min="3" max="3" width="9.33203125" customWidth="1"/>
    <col min="4" max="4" width="9.1640625" customWidth="1"/>
    <col min="5" max="5" width="13.33203125" bestFit="1" customWidth="1"/>
    <col min="6" max="6" width="7.6640625" bestFit="1" customWidth="1"/>
  </cols>
  <sheetData>
    <row r="2" spans="2:6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2:6">
      <c r="B3" s="1" t="s">
        <v>5</v>
      </c>
      <c r="C3" s="1" t="s">
        <v>6</v>
      </c>
      <c r="D3" s="1" t="s">
        <v>7</v>
      </c>
      <c r="E3" s="1" t="s">
        <v>8</v>
      </c>
      <c r="F3" s="1">
        <v>1</v>
      </c>
    </row>
    <row r="4" spans="2:6">
      <c r="B4" s="1" t="s">
        <v>5</v>
      </c>
      <c r="C4" s="1" t="s">
        <v>6</v>
      </c>
      <c r="D4" s="1" t="s">
        <v>9</v>
      </c>
      <c r="E4" s="1" t="s">
        <v>10</v>
      </c>
      <c r="F4" s="1">
        <v>23</v>
      </c>
    </row>
    <row r="5" spans="2:6">
      <c r="B5" s="1" t="s">
        <v>5</v>
      </c>
      <c r="C5" s="1" t="s">
        <v>6</v>
      </c>
      <c r="D5" s="1" t="s">
        <v>11</v>
      </c>
      <c r="E5" s="1" t="s">
        <v>12</v>
      </c>
      <c r="F5" s="1">
        <v>357</v>
      </c>
    </row>
    <row r="6" spans="2:6">
      <c r="B6" s="1" t="s">
        <v>5</v>
      </c>
      <c r="C6" s="1" t="s">
        <v>6</v>
      </c>
      <c r="D6" s="1" t="s">
        <v>13</v>
      </c>
      <c r="E6" s="1" t="s">
        <v>14</v>
      </c>
      <c r="F6" s="1">
        <v>679</v>
      </c>
    </row>
    <row r="7" spans="2:6">
      <c r="B7" s="1" t="s">
        <v>5</v>
      </c>
      <c r="C7" s="1" t="s">
        <v>6</v>
      </c>
      <c r="D7" s="1" t="s">
        <v>15</v>
      </c>
      <c r="E7" s="1" t="s">
        <v>16</v>
      </c>
      <c r="F7" s="1">
        <v>60</v>
      </c>
    </row>
    <row r="8" spans="2:6">
      <c r="B8" s="2" t="s">
        <v>17</v>
      </c>
      <c r="C8" s="2" t="s">
        <v>18</v>
      </c>
      <c r="D8" s="2" t="s">
        <v>19</v>
      </c>
      <c r="E8" s="2" t="s">
        <v>20</v>
      </c>
      <c r="F8" s="2">
        <v>17</v>
      </c>
    </row>
    <row r="9" spans="2:6">
      <c r="B9" s="2" t="s">
        <v>17</v>
      </c>
      <c r="C9" s="2" t="s">
        <v>6</v>
      </c>
      <c r="D9" s="2" t="s">
        <v>21</v>
      </c>
      <c r="E9" s="2" t="s">
        <v>22</v>
      </c>
      <c r="F9" s="2">
        <v>202</v>
      </c>
    </row>
    <row r="10" spans="2:6">
      <c r="B10" s="2" t="s">
        <v>17</v>
      </c>
      <c r="C10" s="2" t="s">
        <v>6</v>
      </c>
      <c r="D10" s="2" t="s">
        <v>23</v>
      </c>
      <c r="E10" s="2" t="s">
        <v>24</v>
      </c>
      <c r="F10" s="2">
        <v>24</v>
      </c>
    </row>
    <row r="11" spans="2:6">
      <c r="B11" s="2" t="s">
        <v>17</v>
      </c>
      <c r="C11" s="2" t="s">
        <v>6</v>
      </c>
      <c r="D11" s="2" t="s">
        <v>25</v>
      </c>
      <c r="E11" s="2" t="s">
        <v>26</v>
      </c>
      <c r="F11" s="2">
        <v>250</v>
      </c>
    </row>
    <row r="12" spans="2:6">
      <c r="B12" s="3" t="s">
        <v>27</v>
      </c>
      <c r="C12" s="3" t="s">
        <v>18</v>
      </c>
      <c r="D12" s="3" t="s">
        <v>28</v>
      </c>
      <c r="E12" s="3" t="s">
        <v>29</v>
      </c>
      <c r="F12" s="3">
        <v>0</v>
      </c>
    </row>
    <row r="13" spans="2:6">
      <c r="B13" s="3" t="s">
        <v>27</v>
      </c>
      <c r="C13" s="3" t="s">
        <v>6</v>
      </c>
      <c r="D13" s="3" t="s">
        <v>30</v>
      </c>
      <c r="E13" s="3" t="s">
        <v>31</v>
      </c>
      <c r="F13" s="3">
        <v>285</v>
      </c>
    </row>
    <row r="14" spans="2:6">
      <c r="B14" s="3" t="s">
        <v>27</v>
      </c>
      <c r="C14" s="3" t="s">
        <v>6</v>
      </c>
      <c r="D14" s="3" t="s">
        <v>32</v>
      </c>
      <c r="E14" s="3" t="s">
        <v>33</v>
      </c>
      <c r="F14" s="3">
        <v>83</v>
      </c>
    </row>
    <row r="15" spans="2:6">
      <c r="B15" s="3" t="s">
        <v>27</v>
      </c>
      <c r="C15" s="3" t="s">
        <v>6</v>
      </c>
      <c r="D15" s="3" t="s">
        <v>34</v>
      </c>
      <c r="E15" s="3" t="s">
        <v>35</v>
      </c>
      <c r="F15" s="3">
        <v>260</v>
      </c>
    </row>
    <row r="16" spans="2:6">
      <c r="B16" s="3" t="s">
        <v>27</v>
      </c>
      <c r="C16" s="3" t="s">
        <v>6</v>
      </c>
      <c r="D16" s="3" t="s">
        <v>36</v>
      </c>
      <c r="E16" s="3" t="s">
        <v>37</v>
      </c>
      <c r="F16" s="3">
        <v>1000</v>
      </c>
    </row>
    <row r="17" spans="2:6">
      <c r="B17" s="3" t="s">
        <v>27</v>
      </c>
      <c r="C17" s="3" t="s">
        <v>6</v>
      </c>
      <c r="D17" s="3" t="s">
        <v>38</v>
      </c>
      <c r="E17" s="3" t="s">
        <v>39</v>
      </c>
      <c r="F17" s="3">
        <v>120</v>
      </c>
    </row>
    <row r="18" spans="2:6">
      <c r="B18" s="4" t="s">
        <v>40</v>
      </c>
      <c r="C18" s="4" t="s">
        <v>18</v>
      </c>
      <c r="D18" s="4" t="s">
        <v>41</v>
      </c>
      <c r="E18" s="4" t="s">
        <v>42</v>
      </c>
      <c r="F18" s="4">
        <v>275</v>
      </c>
    </row>
    <row r="19" spans="2:6">
      <c r="B19" s="4" t="s">
        <v>40</v>
      </c>
      <c r="C19" s="4" t="s">
        <v>6</v>
      </c>
      <c r="D19" s="4" t="s">
        <v>43</v>
      </c>
      <c r="E19" s="4" t="s">
        <v>44</v>
      </c>
      <c r="F19" s="4">
        <v>698</v>
      </c>
    </row>
    <row r="20" spans="2:6">
      <c r="B20" s="4" t="s">
        <v>40</v>
      </c>
      <c r="C20" s="4" t="s">
        <v>6</v>
      </c>
      <c r="D20" s="4" t="s">
        <v>45</v>
      </c>
      <c r="E20" s="4" t="s">
        <v>46</v>
      </c>
      <c r="F20" s="4">
        <v>129</v>
      </c>
    </row>
    <row r="21" spans="2:6">
      <c r="B21" s="4" t="s">
        <v>40</v>
      </c>
      <c r="C21" s="4" t="s">
        <v>6</v>
      </c>
      <c r="D21" s="4" t="s">
        <v>47</v>
      </c>
      <c r="E21" s="4" t="s">
        <v>48</v>
      </c>
      <c r="F21" s="4">
        <v>1251</v>
      </c>
    </row>
    <row r="22" spans="2:6">
      <c r="B22" s="4" t="s">
        <v>40</v>
      </c>
      <c r="C22" s="4" t="s">
        <v>6</v>
      </c>
      <c r="D22" s="4" t="s">
        <v>49</v>
      </c>
      <c r="E22" s="4" t="s">
        <v>50</v>
      </c>
      <c r="F22" s="4">
        <v>951.3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5035-B126-6046-BD7A-B1C1B4BCF733}">
  <sheetPr codeName="Sheet2"/>
  <dimension ref="B4:M29"/>
  <sheetViews>
    <sheetView showGridLines="0" workbookViewId="0">
      <selection activeCell="J6" sqref="J6"/>
    </sheetView>
  </sheetViews>
  <sheetFormatPr baseColWidth="10" defaultRowHeight="16"/>
  <cols>
    <col min="5" max="5" width="13.5" bestFit="1" customWidth="1"/>
  </cols>
  <sheetData>
    <row r="4" spans="2:13">
      <c r="B4" s="5" t="s">
        <v>0</v>
      </c>
      <c r="C4" s="5" t="s">
        <v>1</v>
      </c>
      <c r="D4" s="5" t="s">
        <v>2</v>
      </c>
      <c r="E4" s="5" t="s">
        <v>3</v>
      </c>
      <c r="F4" s="5" t="s">
        <v>4</v>
      </c>
      <c r="H4" t="s">
        <v>0</v>
      </c>
      <c r="I4" t="s">
        <v>1</v>
      </c>
      <c r="J4" t="s">
        <v>2</v>
      </c>
      <c r="K4" t="s">
        <v>3</v>
      </c>
      <c r="L4" t="s">
        <v>4</v>
      </c>
    </row>
    <row r="5" spans="2:13">
      <c r="B5" s="1" t="s">
        <v>5</v>
      </c>
      <c r="C5" s="1" t="s">
        <v>18</v>
      </c>
      <c r="D5" s="1" t="s">
        <v>51</v>
      </c>
      <c r="E5" s="1" t="s">
        <v>52</v>
      </c>
      <c r="F5" s="1">
        <v>234</v>
      </c>
      <c r="H5" t="s">
        <v>5</v>
      </c>
      <c r="I5" t="s">
        <v>18</v>
      </c>
      <c r="J5" t="s">
        <v>51</v>
      </c>
      <c r="K5" t="s">
        <v>52</v>
      </c>
      <c r="L5">
        <v>234</v>
      </c>
      <c r="M5">
        <f>IF(L5=F5,1,0)</f>
        <v>1</v>
      </c>
    </row>
    <row r="6" spans="2:13">
      <c r="B6" s="1" t="s">
        <v>5</v>
      </c>
      <c r="C6" s="1" t="s">
        <v>18</v>
      </c>
      <c r="D6" s="1" t="s">
        <v>7</v>
      </c>
      <c r="E6" s="1" t="s">
        <v>8</v>
      </c>
      <c r="F6" s="1">
        <v>21</v>
      </c>
      <c r="H6" t="s">
        <v>5</v>
      </c>
      <c r="I6" t="s">
        <v>18</v>
      </c>
      <c r="J6" t="s">
        <v>7</v>
      </c>
      <c r="K6" t="s">
        <v>8</v>
      </c>
      <c r="L6">
        <v>21</v>
      </c>
      <c r="M6">
        <f t="shared" ref="M6:M29" si="0">IF(L6=F6,1,0)</f>
        <v>1</v>
      </c>
    </row>
    <row r="7" spans="2:13">
      <c r="B7" s="1" t="s">
        <v>5</v>
      </c>
      <c r="C7" s="1" t="s">
        <v>18</v>
      </c>
      <c r="D7" s="1" t="s">
        <v>53</v>
      </c>
      <c r="E7" s="1" t="s">
        <v>54</v>
      </c>
      <c r="F7" s="1">
        <v>48</v>
      </c>
      <c r="H7" t="s">
        <v>5</v>
      </c>
      <c r="I7" t="s">
        <v>18</v>
      </c>
      <c r="J7" t="s">
        <v>53</v>
      </c>
      <c r="K7" t="s">
        <v>54</v>
      </c>
      <c r="L7">
        <v>48</v>
      </c>
      <c r="M7">
        <f t="shared" si="0"/>
        <v>1</v>
      </c>
    </row>
    <row r="8" spans="2:13">
      <c r="B8" s="1" t="s">
        <v>5</v>
      </c>
      <c r="C8" s="1" t="s">
        <v>6</v>
      </c>
      <c r="D8" s="1" t="s">
        <v>11</v>
      </c>
      <c r="E8" s="1" t="s">
        <v>12</v>
      </c>
      <c r="F8" s="1">
        <v>21</v>
      </c>
      <c r="H8" t="s">
        <v>5</v>
      </c>
      <c r="I8" t="s">
        <v>6</v>
      </c>
      <c r="J8" t="s">
        <v>11</v>
      </c>
      <c r="K8" t="s">
        <v>12</v>
      </c>
      <c r="L8">
        <v>21</v>
      </c>
      <c r="M8">
        <f t="shared" si="0"/>
        <v>1</v>
      </c>
    </row>
    <row r="9" spans="2:13">
      <c r="B9" s="1" t="s">
        <v>5</v>
      </c>
      <c r="C9" s="1" t="s">
        <v>6</v>
      </c>
      <c r="D9" s="1" t="s">
        <v>15</v>
      </c>
      <c r="E9" s="1" t="s">
        <v>16</v>
      </c>
      <c r="F9" s="1">
        <v>40</v>
      </c>
      <c r="H9" t="s">
        <v>5</v>
      </c>
      <c r="I9" t="s">
        <v>6</v>
      </c>
      <c r="J9" t="s">
        <v>15</v>
      </c>
      <c r="K9" t="s">
        <v>16</v>
      </c>
      <c r="L9">
        <v>40</v>
      </c>
      <c r="M9">
        <f t="shared" si="0"/>
        <v>1</v>
      </c>
    </row>
    <row r="10" spans="2:13">
      <c r="B10" s="2" t="s">
        <v>17</v>
      </c>
      <c r="C10" s="2" t="s">
        <v>18</v>
      </c>
      <c r="D10" s="2" t="s">
        <v>21</v>
      </c>
      <c r="E10" s="2" t="s">
        <v>22</v>
      </c>
      <c r="F10" s="2">
        <v>88</v>
      </c>
      <c r="H10" t="s">
        <v>17</v>
      </c>
      <c r="I10" t="s">
        <v>18</v>
      </c>
      <c r="J10" t="s">
        <v>21</v>
      </c>
      <c r="K10" t="s">
        <v>22</v>
      </c>
      <c r="L10">
        <v>88</v>
      </c>
      <c r="M10">
        <f t="shared" si="0"/>
        <v>1</v>
      </c>
    </row>
    <row r="11" spans="2:13">
      <c r="B11" s="2" t="s">
        <v>17</v>
      </c>
      <c r="C11" s="2" t="s">
        <v>18</v>
      </c>
      <c r="D11" s="2" t="s">
        <v>19</v>
      </c>
      <c r="E11" s="2" t="s">
        <v>20</v>
      </c>
      <c r="F11" s="2">
        <v>42</v>
      </c>
      <c r="H11" t="s">
        <v>17</v>
      </c>
      <c r="I11" t="s">
        <v>18</v>
      </c>
      <c r="J11" t="s">
        <v>19</v>
      </c>
      <c r="K11" t="s">
        <v>20</v>
      </c>
      <c r="L11">
        <v>42</v>
      </c>
      <c r="M11">
        <f t="shared" si="0"/>
        <v>1</v>
      </c>
    </row>
    <row r="12" spans="2:13">
      <c r="B12" s="2" t="s">
        <v>17</v>
      </c>
      <c r="C12" s="2" t="s">
        <v>6</v>
      </c>
      <c r="D12" s="2" t="s">
        <v>55</v>
      </c>
      <c r="E12" s="2" t="s">
        <v>56</v>
      </c>
      <c r="F12" s="2">
        <v>75</v>
      </c>
      <c r="H12" t="s">
        <v>17</v>
      </c>
      <c r="I12" t="s">
        <v>6</v>
      </c>
      <c r="J12" t="s">
        <v>55</v>
      </c>
      <c r="K12" t="s">
        <v>56</v>
      </c>
      <c r="L12">
        <v>75</v>
      </c>
      <c r="M12">
        <f t="shared" si="0"/>
        <v>1</v>
      </c>
    </row>
    <row r="13" spans="2:13">
      <c r="B13" s="2" t="s">
        <v>17</v>
      </c>
      <c r="C13" s="2" t="s">
        <v>6</v>
      </c>
      <c r="D13" s="2" t="s">
        <v>23</v>
      </c>
      <c r="E13" s="2" t="s">
        <v>24</v>
      </c>
      <c r="F13" s="2">
        <v>26</v>
      </c>
      <c r="H13" t="s">
        <v>17</v>
      </c>
      <c r="I13" t="s">
        <v>6</v>
      </c>
      <c r="J13" t="s">
        <v>23</v>
      </c>
      <c r="K13" t="s">
        <v>24</v>
      </c>
      <c r="L13">
        <v>26</v>
      </c>
      <c r="M13">
        <f t="shared" si="0"/>
        <v>1</v>
      </c>
    </row>
    <row r="14" spans="2:13">
      <c r="B14" s="2" t="s">
        <v>17</v>
      </c>
      <c r="C14" s="2" t="s">
        <v>6</v>
      </c>
      <c r="D14" s="2" t="s">
        <v>57</v>
      </c>
      <c r="E14" s="2" t="s">
        <v>58</v>
      </c>
      <c r="F14" s="2">
        <v>25</v>
      </c>
      <c r="H14" t="s">
        <v>17</v>
      </c>
      <c r="I14" t="s">
        <v>6</v>
      </c>
      <c r="J14" t="s">
        <v>57</v>
      </c>
      <c r="K14" t="s">
        <v>58</v>
      </c>
      <c r="L14">
        <v>25</v>
      </c>
      <c r="M14">
        <f t="shared" si="0"/>
        <v>1</v>
      </c>
    </row>
    <row r="15" spans="2:13">
      <c r="B15" s="2" t="s">
        <v>17</v>
      </c>
      <c r="C15" s="2" t="s">
        <v>6</v>
      </c>
      <c r="D15" s="2" t="s">
        <v>25</v>
      </c>
      <c r="E15" s="2" t="s">
        <v>26</v>
      </c>
      <c r="F15" s="2">
        <v>125</v>
      </c>
      <c r="H15" t="s">
        <v>17</v>
      </c>
      <c r="I15" t="s">
        <v>6</v>
      </c>
      <c r="J15" t="s">
        <v>25</v>
      </c>
      <c r="K15" t="s">
        <v>26</v>
      </c>
      <c r="L15">
        <v>125</v>
      </c>
      <c r="M15">
        <f t="shared" si="0"/>
        <v>1</v>
      </c>
    </row>
    <row r="16" spans="2:13">
      <c r="B16" s="2" t="s">
        <v>17</v>
      </c>
      <c r="C16" s="2" t="s">
        <v>6</v>
      </c>
      <c r="D16" s="2" t="s">
        <v>59</v>
      </c>
      <c r="E16" s="2" t="s">
        <v>60</v>
      </c>
      <c r="F16" s="2">
        <v>100</v>
      </c>
      <c r="H16" t="s">
        <v>17</v>
      </c>
      <c r="I16" t="s">
        <v>6</v>
      </c>
      <c r="J16" t="s">
        <v>59</v>
      </c>
      <c r="K16" t="s">
        <v>60</v>
      </c>
      <c r="L16">
        <v>100</v>
      </c>
      <c r="M16">
        <f t="shared" si="0"/>
        <v>1</v>
      </c>
    </row>
    <row r="17" spans="2:13">
      <c r="B17" s="3" t="s">
        <v>27</v>
      </c>
      <c r="C17" s="3" t="s">
        <v>6</v>
      </c>
      <c r="D17" s="3" t="s">
        <v>61</v>
      </c>
      <c r="E17" s="3" t="s">
        <v>62</v>
      </c>
      <c r="F17" s="3">
        <v>22</v>
      </c>
      <c r="H17" t="s">
        <v>27</v>
      </c>
      <c r="I17" t="s">
        <v>6</v>
      </c>
      <c r="J17" t="s">
        <v>61</v>
      </c>
      <c r="K17" t="s">
        <v>62</v>
      </c>
      <c r="L17">
        <v>22</v>
      </c>
      <c r="M17">
        <f t="shared" si="0"/>
        <v>1</v>
      </c>
    </row>
    <row r="18" spans="2:13">
      <c r="B18" s="3" t="s">
        <v>27</v>
      </c>
      <c r="C18" s="3" t="s">
        <v>6</v>
      </c>
      <c r="D18" s="3" t="s">
        <v>30</v>
      </c>
      <c r="E18" s="3" t="s">
        <v>31</v>
      </c>
      <c r="F18" s="3">
        <v>240</v>
      </c>
      <c r="H18" t="s">
        <v>27</v>
      </c>
      <c r="I18" t="s">
        <v>6</v>
      </c>
      <c r="J18" t="s">
        <v>30</v>
      </c>
      <c r="K18" t="s">
        <v>31</v>
      </c>
      <c r="L18">
        <v>240</v>
      </c>
      <c r="M18">
        <f t="shared" si="0"/>
        <v>1</v>
      </c>
    </row>
    <row r="19" spans="2:13">
      <c r="B19" s="3" t="s">
        <v>27</v>
      </c>
      <c r="C19" s="3" t="s">
        <v>6</v>
      </c>
      <c r="D19" s="3" t="s">
        <v>28</v>
      </c>
      <c r="E19" s="3" t="s">
        <v>29</v>
      </c>
      <c r="F19" s="3">
        <v>137</v>
      </c>
      <c r="H19" t="s">
        <v>27</v>
      </c>
      <c r="I19" t="s">
        <v>6</v>
      </c>
      <c r="J19" t="s">
        <v>28</v>
      </c>
      <c r="K19" t="s">
        <v>29</v>
      </c>
      <c r="L19">
        <v>130</v>
      </c>
      <c r="M19">
        <f t="shared" si="0"/>
        <v>0</v>
      </c>
    </row>
    <row r="20" spans="2:13">
      <c r="B20" s="3" t="s">
        <v>27</v>
      </c>
      <c r="C20" s="3" t="s">
        <v>6</v>
      </c>
      <c r="D20" s="3" t="s">
        <v>32</v>
      </c>
      <c r="E20" s="3" t="s">
        <v>33</v>
      </c>
      <c r="F20" s="3">
        <v>11</v>
      </c>
      <c r="H20" t="s">
        <v>27</v>
      </c>
      <c r="I20" t="s">
        <v>6</v>
      </c>
      <c r="J20" t="s">
        <v>32</v>
      </c>
      <c r="K20" t="s">
        <v>33</v>
      </c>
      <c r="L20">
        <v>11</v>
      </c>
      <c r="M20">
        <f t="shared" si="0"/>
        <v>1</v>
      </c>
    </row>
    <row r="21" spans="2:13">
      <c r="B21" s="3" t="s">
        <v>27</v>
      </c>
      <c r="C21" s="3" t="s">
        <v>6</v>
      </c>
      <c r="D21" s="3" t="s">
        <v>34</v>
      </c>
      <c r="E21" s="3" t="s">
        <v>35</v>
      </c>
      <c r="F21" s="3">
        <v>30</v>
      </c>
      <c r="H21" t="s">
        <v>27</v>
      </c>
      <c r="I21" t="s">
        <v>6</v>
      </c>
      <c r="J21" t="s">
        <v>34</v>
      </c>
      <c r="K21" t="s">
        <v>35</v>
      </c>
      <c r="L21">
        <v>30</v>
      </c>
      <c r="M21">
        <f t="shared" si="0"/>
        <v>1</v>
      </c>
    </row>
    <row r="22" spans="2:13">
      <c r="B22" s="3" t="s">
        <v>27</v>
      </c>
      <c r="C22" s="3" t="s">
        <v>6</v>
      </c>
      <c r="D22" s="3" t="s">
        <v>36</v>
      </c>
      <c r="E22" s="3" t="s">
        <v>37</v>
      </c>
      <c r="F22" s="3">
        <v>750</v>
      </c>
      <c r="H22" t="s">
        <v>27</v>
      </c>
      <c r="I22" t="s">
        <v>6</v>
      </c>
      <c r="J22" t="s">
        <v>36</v>
      </c>
      <c r="K22" t="s">
        <v>37</v>
      </c>
      <c r="L22">
        <v>750</v>
      </c>
      <c r="M22">
        <f t="shared" si="0"/>
        <v>1</v>
      </c>
    </row>
    <row r="23" spans="2:13">
      <c r="B23" s="3" t="s">
        <v>27</v>
      </c>
      <c r="C23" s="3" t="s">
        <v>6</v>
      </c>
      <c r="D23" s="3" t="s">
        <v>63</v>
      </c>
      <c r="E23" s="3" t="s">
        <v>64</v>
      </c>
      <c r="F23" s="3">
        <v>45</v>
      </c>
      <c r="H23" t="s">
        <v>27</v>
      </c>
      <c r="I23" t="s">
        <v>6</v>
      </c>
      <c r="J23" t="s">
        <v>63</v>
      </c>
      <c r="K23" t="s">
        <v>64</v>
      </c>
      <c r="L23">
        <v>45</v>
      </c>
      <c r="M23">
        <f t="shared" si="0"/>
        <v>1</v>
      </c>
    </row>
    <row r="24" spans="2:13">
      <c r="B24" s="3" t="s">
        <v>27</v>
      </c>
      <c r="C24" s="3" t="s">
        <v>6</v>
      </c>
      <c r="D24" s="3" t="s">
        <v>38</v>
      </c>
      <c r="E24" s="3" t="s">
        <v>39</v>
      </c>
      <c r="F24" s="3">
        <v>290</v>
      </c>
      <c r="H24" t="s">
        <v>27</v>
      </c>
      <c r="I24" t="s">
        <v>6</v>
      </c>
      <c r="J24" t="s">
        <v>38</v>
      </c>
      <c r="K24" t="s">
        <v>39</v>
      </c>
      <c r="L24">
        <v>290</v>
      </c>
      <c r="M24">
        <f t="shared" si="0"/>
        <v>1</v>
      </c>
    </row>
    <row r="25" spans="2:13">
      <c r="B25" s="5" t="s">
        <v>40</v>
      </c>
      <c r="C25" s="5" t="s">
        <v>18</v>
      </c>
      <c r="D25" s="5" t="s">
        <v>43</v>
      </c>
      <c r="E25" s="5" t="s">
        <v>44</v>
      </c>
      <c r="F25" s="5">
        <v>398</v>
      </c>
      <c r="H25" t="s">
        <v>40</v>
      </c>
      <c r="I25" t="s">
        <v>18</v>
      </c>
      <c r="J25" t="s">
        <v>43</v>
      </c>
      <c r="K25" t="s">
        <v>44</v>
      </c>
      <c r="L25">
        <v>398</v>
      </c>
      <c r="M25">
        <f t="shared" si="0"/>
        <v>1</v>
      </c>
    </row>
    <row r="26" spans="2:13">
      <c r="B26" s="5" t="s">
        <v>40</v>
      </c>
      <c r="C26" s="5" t="s">
        <v>6</v>
      </c>
      <c r="D26" s="5" t="s">
        <v>45</v>
      </c>
      <c r="E26" s="5" t="s">
        <v>46</v>
      </c>
      <c r="F26" s="5">
        <v>107</v>
      </c>
      <c r="H26" t="s">
        <v>40</v>
      </c>
      <c r="I26" t="s">
        <v>6</v>
      </c>
      <c r="J26" t="s">
        <v>45</v>
      </c>
      <c r="K26" t="s">
        <v>46</v>
      </c>
      <c r="L26">
        <v>107</v>
      </c>
      <c r="M26">
        <f t="shared" si="0"/>
        <v>1</v>
      </c>
    </row>
    <row r="27" spans="2:13">
      <c r="B27" s="5" t="s">
        <v>40</v>
      </c>
      <c r="C27" s="5" t="s">
        <v>6</v>
      </c>
      <c r="D27" s="5" t="s">
        <v>41</v>
      </c>
      <c r="E27" s="5" t="s">
        <v>42</v>
      </c>
      <c r="F27" s="5">
        <v>283</v>
      </c>
      <c r="H27" t="s">
        <v>40</v>
      </c>
      <c r="I27" t="s">
        <v>6</v>
      </c>
      <c r="J27" t="s">
        <v>41</v>
      </c>
      <c r="K27" t="s">
        <v>42</v>
      </c>
      <c r="L27">
        <v>283</v>
      </c>
      <c r="M27">
        <f t="shared" si="0"/>
        <v>1</v>
      </c>
    </row>
    <row r="28" spans="2:13">
      <c r="B28" s="5" t="s">
        <v>40</v>
      </c>
      <c r="C28" s="5" t="s">
        <v>6</v>
      </c>
      <c r="D28" s="5" t="s">
        <v>47</v>
      </c>
      <c r="E28" s="5" t="s">
        <v>48</v>
      </c>
      <c r="F28" s="5">
        <v>1701.9</v>
      </c>
      <c r="H28" t="s">
        <v>40</v>
      </c>
      <c r="I28" t="s">
        <v>6</v>
      </c>
      <c r="J28" t="s">
        <v>47</v>
      </c>
      <c r="K28" t="s">
        <v>48</v>
      </c>
      <c r="L28">
        <v>1701.9</v>
      </c>
      <c r="M28">
        <f t="shared" si="0"/>
        <v>1</v>
      </c>
    </row>
    <row r="29" spans="2:13">
      <c r="B29" s="5" t="s">
        <v>40</v>
      </c>
      <c r="C29" s="5" t="s">
        <v>6</v>
      </c>
      <c r="D29" s="5" t="s">
        <v>49</v>
      </c>
      <c r="E29" s="5" t="s">
        <v>50</v>
      </c>
      <c r="F29" s="5">
        <v>394</v>
      </c>
      <c r="H29" t="s">
        <v>40</v>
      </c>
      <c r="I29" t="s">
        <v>6</v>
      </c>
      <c r="J29" t="s">
        <v>49</v>
      </c>
      <c r="K29" t="s">
        <v>50</v>
      </c>
      <c r="L29">
        <v>394</v>
      </c>
      <c r="M29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8039-6AE9-E64B-8C97-EB5910562C15}">
  <sheetPr codeName="Sheet3"/>
  <dimension ref="B3:F23"/>
  <sheetViews>
    <sheetView workbookViewId="0">
      <selection activeCell="D5" sqref="D5"/>
    </sheetView>
  </sheetViews>
  <sheetFormatPr baseColWidth="10" defaultRowHeight="16"/>
  <cols>
    <col min="5" max="5" width="13.33203125" bestFit="1" customWidth="1"/>
  </cols>
  <sheetData>
    <row r="3" spans="2:6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</row>
    <row r="4" spans="2:6">
      <c r="B4" s="1" t="s">
        <v>5</v>
      </c>
      <c r="C4" s="1" t="s">
        <v>18</v>
      </c>
      <c r="D4" s="1" t="s">
        <v>51</v>
      </c>
      <c r="E4" s="1" t="s">
        <v>52</v>
      </c>
      <c r="F4" s="1">
        <v>166</v>
      </c>
    </row>
    <row r="5" spans="2:6">
      <c r="B5" s="1" t="s">
        <v>5</v>
      </c>
      <c r="C5" s="1" t="s">
        <v>6</v>
      </c>
      <c r="D5" s="1" t="s">
        <v>7</v>
      </c>
      <c r="E5" s="1" t="s">
        <v>8</v>
      </c>
      <c r="F5" s="1">
        <v>208</v>
      </c>
    </row>
    <row r="6" spans="2:6">
      <c r="B6" s="1" t="s">
        <v>5</v>
      </c>
      <c r="C6" s="1" t="s">
        <v>6</v>
      </c>
      <c r="D6" s="1" t="s">
        <v>53</v>
      </c>
      <c r="E6" s="1" t="s">
        <v>54</v>
      </c>
      <c r="F6" s="1">
        <v>400</v>
      </c>
    </row>
    <row r="7" spans="2:6">
      <c r="B7" s="1" t="s">
        <v>5</v>
      </c>
      <c r="C7" s="1" t="s">
        <v>6</v>
      </c>
      <c r="D7" s="1" t="s">
        <v>11</v>
      </c>
      <c r="E7" s="1" t="s">
        <v>12</v>
      </c>
      <c r="F7" s="1">
        <v>1</v>
      </c>
    </row>
    <row r="8" spans="2:6">
      <c r="B8" s="7" t="s">
        <v>17</v>
      </c>
      <c r="C8" s="7" t="s">
        <v>18</v>
      </c>
      <c r="D8" s="7" t="s">
        <v>21</v>
      </c>
      <c r="E8" s="7" t="s">
        <v>22</v>
      </c>
      <c r="F8" s="7">
        <v>124</v>
      </c>
    </row>
    <row r="9" spans="2:6">
      <c r="B9" s="7" t="s">
        <v>17</v>
      </c>
      <c r="C9" s="7" t="s">
        <v>18</v>
      </c>
      <c r="D9" s="7" t="s">
        <v>23</v>
      </c>
      <c r="E9" s="7" t="s">
        <v>24</v>
      </c>
      <c r="F9" s="7">
        <v>53</v>
      </c>
    </row>
    <row r="10" spans="2:6">
      <c r="B10" s="7" t="s">
        <v>17</v>
      </c>
      <c r="C10" s="7" t="s">
        <v>18</v>
      </c>
      <c r="D10" s="7" t="s">
        <v>57</v>
      </c>
      <c r="E10" s="7" t="s">
        <v>58</v>
      </c>
      <c r="F10" s="7">
        <v>42</v>
      </c>
    </row>
    <row r="11" spans="2:6">
      <c r="B11" s="7" t="s">
        <v>17</v>
      </c>
      <c r="C11" s="7" t="s">
        <v>6</v>
      </c>
      <c r="D11" s="7" t="s">
        <v>19</v>
      </c>
      <c r="E11" s="7" t="s">
        <v>20</v>
      </c>
      <c r="F11" s="7">
        <v>194</v>
      </c>
    </row>
    <row r="12" spans="2:6">
      <c r="B12" s="3" t="s">
        <v>27</v>
      </c>
      <c r="C12" s="3" t="s">
        <v>18</v>
      </c>
      <c r="D12" s="3" t="s">
        <v>30</v>
      </c>
      <c r="E12" s="3" t="s">
        <v>31</v>
      </c>
      <c r="F12" s="3">
        <v>412</v>
      </c>
    </row>
    <row r="13" spans="2:6">
      <c r="B13" s="3" t="s">
        <v>27</v>
      </c>
      <c r="C13" s="3" t="s">
        <v>18</v>
      </c>
      <c r="D13" s="3" t="s">
        <v>28</v>
      </c>
      <c r="E13" s="3" t="s">
        <v>29</v>
      </c>
      <c r="F13" s="3">
        <v>0</v>
      </c>
    </row>
    <row r="14" spans="2:6">
      <c r="B14" s="3" t="s">
        <v>27</v>
      </c>
      <c r="C14" s="3" t="s">
        <v>18</v>
      </c>
      <c r="D14" s="3" t="s">
        <v>34</v>
      </c>
      <c r="E14" s="3" t="s">
        <v>35</v>
      </c>
      <c r="F14" s="3">
        <v>37</v>
      </c>
    </row>
    <row r="15" spans="2:6">
      <c r="B15" s="3" t="s">
        <v>27</v>
      </c>
      <c r="C15" s="3" t="s">
        <v>6</v>
      </c>
      <c r="D15" s="3" t="s">
        <v>61</v>
      </c>
      <c r="E15" s="3" t="s">
        <v>62</v>
      </c>
      <c r="F15" s="3">
        <v>176</v>
      </c>
    </row>
    <row r="16" spans="2:6">
      <c r="B16" s="3" t="s">
        <v>27</v>
      </c>
      <c r="C16" s="3" t="s">
        <v>6</v>
      </c>
      <c r="D16" s="3" t="s">
        <v>32</v>
      </c>
      <c r="E16" s="3" t="s">
        <v>33</v>
      </c>
      <c r="F16" s="3">
        <v>7</v>
      </c>
    </row>
    <row r="17" spans="2:6">
      <c r="B17" s="3" t="s">
        <v>27</v>
      </c>
      <c r="C17" s="3" t="s">
        <v>6</v>
      </c>
      <c r="D17" s="3" t="s">
        <v>36</v>
      </c>
      <c r="E17" s="3" t="s">
        <v>37</v>
      </c>
      <c r="F17" s="3">
        <v>750</v>
      </c>
    </row>
    <row r="18" spans="2:6">
      <c r="B18" s="3" t="s">
        <v>27</v>
      </c>
      <c r="C18" s="3" t="s">
        <v>6</v>
      </c>
      <c r="D18" s="3" t="s">
        <v>63</v>
      </c>
      <c r="E18" s="3" t="s">
        <v>64</v>
      </c>
      <c r="F18" s="3">
        <v>40</v>
      </c>
    </row>
    <row r="19" spans="2:6">
      <c r="B19" s="6" t="s">
        <v>40</v>
      </c>
      <c r="C19" s="6" t="s">
        <v>18</v>
      </c>
      <c r="D19" s="6" t="s">
        <v>43</v>
      </c>
      <c r="E19" s="6" t="s">
        <v>44</v>
      </c>
      <c r="F19" s="6">
        <v>7</v>
      </c>
    </row>
    <row r="20" spans="2:6">
      <c r="B20" s="6" t="s">
        <v>40</v>
      </c>
      <c r="C20" s="6" t="s">
        <v>18</v>
      </c>
      <c r="D20" s="6" t="s">
        <v>49</v>
      </c>
      <c r="E20" s="6" t="s">
        <v>50</v>
      </c>
      <c r="F20" s="6">
        <v>50</v>
      </c>
    </row>
    <row r="21" spans="2:6">
      <c r="B21" s="6" t="s">
        <v>40</v>
      </c>
      <c r="C21" s="6" t="s">
        <v>6</v>
      </c>
      <c r="D21" s="6" t="s">
        <v>45</v>
      </c>
      <c r="E21" s="6" t="s">
        <v>46</v>
      </c>
      <c r="F21" s="6">
        <v>50</v>
      </c>
    </row>
    <row r="22" spans="2:6">
      <c r="B22" s="6" t="s">
        <v>40</v>
      </c>
      <c r="C22" s="6" t="s">
        <v>6</v>
      </c>
      <c r="D22" s="6" t="s">
        <v>41</v>
      </c>
      <c r="E22" s="6" t="s">
        <v>42</v>
      </c>
      <c r="F22" s="6">
        <v>196</v>
      </c>
    </row>
    <row r="23" spans="2:6">
      <c r="B23" s="6" t="s">
        <v>40</v>
      </c>
      <c r="C23" s="6" t="s">
        <v>6</v>
      </c>
      <c r="D23" s="6" t="s">
        <v>47</v>
      </c>
      <c r="E23" s="6" t="s">
        <v>48</v>
      </c>
      <c r="F23" s="6">
        <v>1701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21CCA-030E-A643-A169-4F853A8C7D5D}">
  <sheetPr codeName="Sheet4"/>
  <dimension ref="B2:F24"/>
  <sheetViews>
    <sheetView showGridLines="0" workbookViewId="0">
      <selection activeCell="D5" sqref="D5"/>
    </sheetView>
  </sheetViews>
  <sheetFormatPr baseColWidth="10" defaultRowHeight="16"/>
  <cols>
    <col min="5" max="5" width="13.33203125" bestFit="1" customWidth="1"/>
  </cols>
  <sheetData>
    <row r="2" spans="2:6" ht="17" thickBot="1"/>
    <row r="3" spans="2:6" ht="20" thickBot="1">
      <c r="B3" s="12" t="s">
        <v>0</v>
      </c>
      <c r="C3" s="13" t="s">
        <v>1</v>
      </c>
      <c r="D3" s="13" t="s">
        <v>2</v>
      </c>
      <c r="E3" s="13" t="s">
        <v>3</v>
      </c>
      <c r="F3" s="14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428</v>
      </c>
    </row>
    <row r="5" spans="2:6">
      <c r="B5" s="19" t="s">
        <v>5</v>
      </c>
      <c r="C5" s="8" t="s">
        <v>18</v>
      </c>
      <c r="D5" s="8" t="s">
        <v>7</v>
      </c>
      <c r="E5" s="8" t="s">
        <v>8</v>
      </c>
      <c r="F5" s="20">
        <v>291</v>
      </c>
    </row>
    <row r="6" spans="2:6">
      <c r="B6" s="19" t="s">
        <v>5</v>
      </c>
      <c r="C6" s="8" t="s">
        <v>18</v>
      </c>
      <c r="D6" s="8" t="s">
        <v>53</v>
      </c>
      <c r="E6" s="8" t="s">
        <v>54</v>
      </c>
      <c r="F6" s="20">
        <v>354</v>
      </c>
    </row>
    <row r="7" spans="2:6" ht="17" thickBot="1">
      <c r="B7" s="24" t="s">
        <v>5</v>
      </c>
      <c r="C7" s="25" t="s">
        <v>18</v>
      </c>
      <c r="D7" s="25" t="s">
        <v>15</v>
      </c>
      <c r="E7" s="25" t="s">
        <v>16</v>
      </c>
      <c r="F7" s="26">
        <v>243</v>
      </c>
    </row>
    <row r="8" spans="2:6">
      <c r="B8" s="27" t="s">
        <v>17</v>
      </c>
      <c r="C8" s="28" t="s">
        <v>18</v>
      </c>
      <c r="D8" s="28" t="s">
        <v>19</v>
      </c>
      <c r="E8" s="28" t="s">
        <v>20</v>
      </c>
      <c r="F8" s="29">
        <v>133</v>
      </c>
    </row>
    <row r="9" spans="2:6">
      <c r="B9" s="30" t="s">
        <v>17</v>
      </c>
      <c r="C9" s="9" t="s">
        <v>6</v>
      </c>
      <c r="D9" s="9" t="s">
        <v>55</v>
      </c>
      <c r="E9" s="9" t="s">
        <v>56</v>
      </c>
      <c r="F9" s="31">
        <v>237</v>
      </c>
    </row>
    <row r="10" spans="2:6">
      <c r="B10" s="30" t="s">
        <v>17</v>
      </c>
      <c r="C10" s="9" t="s">
        <v>6</v>
      </c>
      <c r="D10" s="9" t="s">
        <v>21</v>
      </c>
      <c r="E10" s="9" t="s">
        <v>22</v>
      </c>
      <c r="F10" s="31">
        <v>236</v>
      </c>
    </row>
    <row r="11" spans="2:6">
      <c r="B11" s="30" t="s">
        <v>17</v>
      </c>
      <c r="C11" s="9" t="s">
        <v>6</v>
      </c>
      <c r="D11" s="9" t="s">
        <v>23</v>
      </c>
      <c r="E11" s="9" t="s">
        <v>24</v>
      </c>
      <c r="F11" s="31">
        <v>146</v>
      </c>
    </row>
    <row r="12" spans="2:6">
      <c r="B12" s="30" t="s">
        <v>17</v>
      </c>
      <c r="C12" s="9" t="s">
        <v>6</v>
      </c>
      <c r="D12" s="9" t="s">
        <v>57</v>
      </c>
      <c r="E12" s="9" t="s">
        <v>58</v>
      </c>
      <c r="F12" s="31">
        <v>61</v>
      </c>
    </row>
    <row r="13" spans="2:6" ht="17" thickBot="1">
      <c r="B13" s="21" t="s">
        <v>17</v>
      </c>
      <c r="C13" s="22" t="s">
        <v>6</v>
      </c>
      <c r="D13" s="22" t="s">
        <v>25</v>
      </c>
      <c r="E13" s="22" t="s">
        <v>26</v>
      </c>
      <c r="F13" s="23">
        <v>128</v>
      </c>
    </row>
    <row r="14" spans="2:6">
      <c r="B14" s="33" t="s">
        <v>27</v>
      </c>
      <c r="C14" s="34" t="s">
        <v>18</v>
      </c>
      <c r="D14" s="34" t="s">
        <v>30</v>
      </c>
      <c r="E14" s="34" t="s">
        <v>31</v>
      </c>
      <c r="F14" s="35">
        <v>360</v>
      </c>
    </row>
    <row r="15" spans="2:6">
      <c r="B15" s="36" t="s">
        <v>27</v>
      </c>
      <c r="C15" s="10" t="s">
        <v>18</v>
      </c>
      <c r="D15" s="10" t="s">
        <v>28</v>
      </c>
      <c r="E15" s="10" t="s">
        <v>29</v>
      </c>
      <c r="F15" s="37">
        <v>0</v>
      </c>
    </row>
    <row r="16" spans="2:6">
      <c r="B16" s="36" t="s">
        <v>27</v>
      </c>
      <c r="C16" s="10" t="s">
        <v>18</v>
      </c>
      <c r="D16" s="10" t="s">
        <v>34</v>
      </c>
      <c r="E16" s="10" t="s">
        <v>35</v>
      </c>
      <c r="F16" s="37">
        <v>186</v>
      </c>
    </row>
    <row r="17" spans="2:6">
      <c r="B17" s="36" t="s">
        <v>27</v>
      </c>
      <c r="C17" s="10" t="s">
        <v>6</v>
      </c>
      <c r="D17" s="10" t="s">
        <v>61</v>
      </c>
      <c r="E17" s="10" t="s">
        <v>62</v>
      </c>
      <c r="F17" s="37">
        <v>53</v>
      </c>
    </row>
    <row r="18" spans="2:6">
      <c r="B18" s="36" t="s">
        <v>27</v>
      </c>
      <c r="C18" s="10" t="s">
        <v>6</v>
      </c>
      <c r="D18" s="10" t="s">
        <v>32</v>
      </c>
      <c r="E18" s="10" t="s">
        <v>33</v>
      </c>
      <c r="F18" s="37">
        <v>112</v>
      </c>
    </row>
    <row r="19" spans="2:6" ht="17" thickBot="1">
      <c r="B19" s="38" t="s">
        <v>27</v>
      </c>
      <c r="C19" s="39" t="s">
        <v>6</v>
      </c>
      <c r="D19" s="39" t="s">
        <v>36</v>
      </c>
      <c r="E19" s="39" t="s">
        <v>37</v>
      </c>
      <c r="F19" s="40">
        <v>750</v>
      </c>
    </row>
    <row r="20" spans="2:6">
      <c r="B20" s="41" t="s">
        <v>40</v>
      </c>
      <c r="C20" s="42" t="s">
        <v>18</v>
      </c>
      <c r="D20" s="42" t="s">
        <v>43</v>
      </c>
      <c r="E20" s="42" t="s">
        <v>44</v>
      </c>
      <c r="F20" s="43">
        <v>92</v>
      </c>
    </row>
    <row r="21" spans="2:6">
      <c r="B21" s="44" t="s">
        <v>40</v>
      </c>
      <c r="C21" s="11" t="s">
        <v>6</v>
      </c>
      <c r="D21" s="11" t="s">
        <v>45</v>
      </c>
      <c r="E21" s="11" t="s">
        <v>46</v>
      </c>
      <c r="F21" s="45">
        <v>94</v>
      </c>
    </row>
    <row r="22" spans="2:6">
      <c r="B22" s="44" t="s">
        <v>40</v>
      </c>
      <c r="C22" s="11" t="s">
        <v>6</v>
      </c>
      <c r="D22" s="11" t="s">
        <v>41</v>
      </c>
      <c r="E22" s="11" t="s">
        <v>42</v>
      </c>
      <c r="F22" s="45">
        <v>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100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F137-2093-3642-A9CA-9FEA8E9A3446}">
  <sheetPr codeName="Sheet5"/>
  <dimension ref="C3:G22"/>
  <sheetViews>
    <sheetView showGridLines="0" workbookViewId="0">
      <selection activeCell="E5" sqref="E5"/>
    </sheetView>
  </sheetViews>
  <sheetFormatPr baseColWidth="10" defaultRowHeight="16"/>
  <cols>
    <col min="6" max="6" width="13.33203125" bestFit="1" customWidth="1"/>
  </cols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7</v>
      </c>
      <c r="F5" s="17" t="s">
        <v>8</v>
      </c>
      <c r="G5" s="18">
        <v>0</v>
      </c>
    </row>
    <row r="6" spans="3:7">
      <c r="C6" s="19" t="s">
        <v>5</v>
      </c>
      <c r="D6" s="8" t="s">
        <v>18</v>
      </c>
      <c r="E6" s="8" t="s">
        <v>11</v>
      </c>
      <c r="F6" s="8" t="s">
        <v>12</v>
      </c>
      <c r="G6" s="20">
        <v>0</v>
      </c>
    </row>
    <row r="7" spans="3:7">
      <c r="C7" s="19" t="s">
        <v>5</v>
      </c>
      <c r="D7" s="8" t="s">
        <v>6</v>
      </c>
      <c r="E7" s="8" t="s">
        <v>51</v>
      </c>
      <c r="F7" s="8" t="s">
        <v>52</v>
      </c>
      <c r="G7" s="20">
        <v>1000</v>
      </c>
    </row>
    <row r="8" spans="3:7">
      <c r="C8" s="19" t="s">
        <v>5</v>
      </c>
      <c r="D8" s="8" t="s">
        <v>6</v>
      </c>
      <c r="E8" s="8" t="s">
        <v>53</v>
      </c>
      <c r="F8" s="8" t="s">
        <v>54</v>
      </c>
      <c r="G8" s="20">
        <v>140</v>
      </c>
    </row>
    <row r="9" spans="3:7" ht="17" thickBot="1">
      <c r="C9" s="24" t="s">
        <v>5</v>
      </c>
      <c r="D9" s="25" t="s">
        <v>6</v>
      </c>
      <c r="E9" s="25" t="s">
        <v>15</v>
      </c>
      <c r="F9" s="25" t="s">
        <v>16</v>
      </c>
      <c r="G9" s="26">
        <v>142</v>
      </c>
    </row>
    <row r="10" spans="3:7">
      <c r="C10" s="30" t="s">
        <v>17</v>
      </c>
      <c r="D10" s="9" t="s">
        <v>18</v>
      </c>
      <c r="E10" s="9" t="s">
        <v>19</v>
      </c>
      <c r="F10" s="9" t="s">
        <v>20</v>
      </c>
      <c r="G10" s="31">
        <v>162</v>
      </c>
    </row>
    <row r="11" spans="3:7">
      <c r="C11" s="30" t="s">
        <v>17</v>
      </c>
      <c r="D11" s="9" t="s">
        <v>6</v>
      </c>
      <c r="E11" s="9" t="s">
        <v>21</v>
      </c>
      <c r="F11" s="9" t="s">
        <v>22</v>
      </c>
      <c r="G11" s="31">
        <v>230</v>
      </c>
    </row>
    <row r="12" spans="3:7" ht="17" thickBot="1">
      <c r="C12" s="30" t="s">
        <v>17</v>
      </c>
      <c r="D12" s="9" t="s">
        <v>6</v>
      </c>
      <c r="E12" s="9" t="s">
        <v>23</v>
      </c>
      <c r="F12" s="9" t="s">
        <v>24</v>
      </c>
      <c r="G12" s="31">
        <v>153</v>
      </c>
    </row>
    <row r="13" spans="3:7">
      <c r="C13" s="33" t="s">
        <v>27</v>
      </c>
      <c r="D13" s="34" t="s">
        <v>18</v>
      </c>
      <c r="E13" s="34" t="s">
        <v>61</v>
      </c>
      <c r="F13" s="34" t="s">
        <v>62</v>
      </c>
      <c r="G13" s="35">
        <v>0</v>
      </c>
    </row>
    <row r="14" spans="3:7">
      <c r="C14" s="36" t="s">
        <v>27</v>
      </c>
      <c r="D14" s="10" t="s">
        <v>18</v>
      </c>
      <c r="E14" s="10" t="s">
        <v>28</v>
      </c>
      <c r="F14" s="10" t="s">
        <v>29</v>
      </c>
      <c r="G14" s="37">
        <v>0</v>
      </c>
    </row>
    <row r="15" spans="3:7">
      <c r="C15" s="36" t="s">
        <v>27</v>
      </c>
      <c r="D15" s="10" t="s">
        <v>18</v>
      </c>
      <c r="E15" s="10" t="s">
        <v>32</v>
      </c>
      <c r="F15" s="10" t="s">
        <v>33</v>
      </c>
      <c r="G15" s="37">
        <v>215</v>
      </c>
    </row>
    <row r="16" spans="3:7">
      <c r="C16" s="36" t="s">
        <v>27</v>
      </c>
      <c r="D16" s="10" t="s">
        <v>6</v>
      </c>
      <c r="E16" s="10" t="s">
        <v>30</v>
      </c>
      <c r="F16" s="10" t="s">
        <v>31</v>
      </c>
      <c r="G16" s="37">
        <v>598</v>
      </c>
    </row>
    <row r="17" spans="3:7">
      <c r="C17" s="36" t="s">
        <v>27</v>
      </c>
      <c r="D17" s="10" t="s">
        <v>6</v>
      </c>
      <c r="E17" s="10" t="s">
        <v>34</v>
      </c>
      <c r="F17" s="10" t="s">
        <v>35</v>
      </c>
      <c r="G17" s="37">
        <v>115</v>
      </c>
    </row>
    <row r="18" spans="3:7" ht="17" thickBot="1">
      <c r="C18" s="36" t="s">
        <v>27</v>
      </c>
      <c r="D18" s="10" t="s">
        <v>6</v>
      </c>
      <c r="E18" s="10" t="s">
        <v>36</v>
      </c>
      <c r="F18" s="10" t="s">
        <v>37</v>
      </c>
      <c r="G18" s="37">
        <v>750</v>
      </c>
    </row>
    <row r="19" spans="3:7">
      <c r="C19" s="41" t="s">
        <v>40</v>
      </c>
      <c r="D19" s="42" t="s">
        <v>6</v>
      </c>
      <c r="E19" s="42" t="s">
        <v>43</v>
      </c>
      <c r="F19" s="42" t="s">
        <v>44</v>
      </c>
      <c r="G19" s="43">
        <v>352</v>
      </c>
    </row>
    <row r="20" spans="3:7">
      <c r="C20" s="44" t="s">
        <v>40</v>
      </c>
      <c r="D20" s="11" t="s">
        <v>6</v>
      </c>
      <c r="E20" s="11" t="s">
        <v>45</v>
      </c>
      <c r="F20" s="11" t="s">
        <v>46</v>
      </c>
      <c r="G20" s="45">
        <v>117</v>
      </c>
    </row>
    <row r="21" spans="3:7">
      <c r="C21" s="44" t="s">
        <v>40</v>
      </c>
      <c r="D21" s="11" t="s">
        <v>6</v>
      </c>
      <c r="E21" s="11" t="s">
        <v>47</v>
      </c>
      <c r="F21" s="11" t="s">
        <v>48</v>
      </c>
      <c r="G21" s="45">
        <v>109</v>
      </c>
    </row>
    <row r="22" spans="3:7" ht="17" thickBot="1">
      <c r="C22" s="46" t="s">
        <v>40</v>
      </c>
      <c r="D22" s="47" t="s">
        <v>6</v>
      </c>
      <c r="E22" s="47" t="s">
        <v>49</v>
      </c>
      <c r="F22" s="47" t="s">
        <v>50</v>
      </c>
      <c r="G22" s="48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8703-D7AD-0E4D-A86A-5464F83E602D}">
  <sheetPr codeName="Sheet6"/>
  <dimension ref="C3:G19"/>
  <sheetViews>
    <sheetView showGridLines="0" workbookViewId="0">
      <selection activeCell="C4" sqref="C4:G19"/>
    </sheetView>
  </sheetViews>
  <sheetFormatPr baseColWidth="10" defaultRowHeight="16"/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51</v>
      </c>
      <c r="F5" s="17" t="s">
        <v>52</v>
      </c>
      <c r="G5" s="18">
        <v>553</v>
      </c>
    </row>
    <row r="6" spans="3:7" ht="17" thickBot="1">
      <c r="C6" s="24" t="s">
        <v>5</v>
      </c>
      <c r="D6" s="25" t="s">
        <v>18</v>
      </c>
      <c r="E6" s="25" t="s">
        <v>15</v>
      </c>
      <c r="F6" s="25" t="s">
        <v>16</v>
      </c>
      <c r="G6" s="26">
        <v>10</v>
      </c>
    </row>
    <row r="7" spans="3:7">
      <c r="C7" s="27" t="s">
        <v>17</v>
      </c>
      <c r="D7" s="28" t="s">
        <v>18</v>
      </c>
      <c r="E7" s="28" t="s">
        <v>19</v>
      </c>
      <c r="F7" s="28" t="s">
        <v>20</v>
      </c>
      <c r="G7" s="29">
        <v>48</v>
      </c>
    </row>
    <row r="8" spans="3:7">
      <c r="C8" s="30" t="s">
        <v>17</v>
      </c>
      <c r="D8" s="9" t="s">
        <v>6</v>
      </c>
      <c r="E8" s="9" t="s">
        <v>21</v>
      </c>
      <c r="F8" s="9" t="s">
        <v>22</v>
      </c>
      <c r="G8" s="31">
        <v>186</v>
      </c>
    </row>
    <row r="9" spans="3:7">
      <c r="C9" s="30" t="s">
        <v>17</v>
      </c>
      <c r="D9" s="9" t="s">
        <v>6</v>
      </c>
      <c r="E9" s="9" t="s">
        <v>23</v>
      </c>
      <c r="F9" s="9" t="s">
        <v>24</v>
      </c>
      <c r="G9" s="31">
        <v>28</v>
      </c>
    </row>
    <row r="10" spans="3:7" ht="17" thickBot="1">
      <c r="C10" s="21" t="s">
        <v>17</v>
      </c>
      <c r="D10" s="22" t="s">
        <v>6</v>
      </c>
      <c r="E10" s="22" t="s">
        <v>67</v>
      </c>
      <c r="F10" s="22" t="s">
        <v>68</v>
      </c>
      <c r="G10" s="23">
        <v>105</v>
      </c>
    </row>
    <row r="11" spans="3:7">
      <c r="C11" s="33" t="s">
        <v>27</v>
      </c>
      <c r="D11" s="34" t="s">
        <v>18</v>
      </c>
      <c r="E11" s="34" t="s">
        <v>61</v>
      </c>
      <c r="F11" s="34" t="s">
        <v>62</v>
      </c>
      <c r="G11" s="35">
        <v>61</v>
      </c>
    </row>
    <row r="12" spans="3:7">
      <c r="C12" s="36" t="s">
        <v>27</v>
      </c>
      <c r="D12" s="10" t="s">
        <v>18</v>
      </c>
      <c r="E12" s="10" t="s">
        <v>30</v>
      </c>
      <c r="F12" s="10" t="s">
        <v>31</v>
      </c>
      <c r="G12" s="37">
        <v>1097</v>
      </c>
    </row>
    <row r="13" spans="3:7">
      <c r="C13" s="36" t="s">
        <v>27</v>
      </c>
      <c r="D13" s="10" t="s">
        <v>18</v>
      </c>
      <c r="E13" s="10" t="s">
        <v>32</v>
      </c>
      <c r="F13" s="10" t="s">
        <v>33</v>
      </c>
      <c r="G13" s="37">
        <v>48</v>
      </c>
    </row>
    <row r="14" spans="3:7">
      <c r="C14" s="36" t="s">
        <v>27</v>
      </c>
      <c r="D14" s="10" t="s">
        <v>18</v>
      </c>
      <c r="E14" s="10" t="s">
        <v>36</v>
      </c>
      <c r="F14" s="10" t="s">
        <v>37</v>
      </c>
      <c r="G14" s="37">
        <v>81</v>
      </c>
    </row>
    <row r="15" spans="3:7">
      <c r="C15" s="36" t="s">
        <v>27</v>
      </c>
      <c r="D15" s="10" t="s">
        <v>18</v>
      </c>
      <c r="E15" s="10" t="s">
        <v>63</v>
      </c>
      <c r="F15" s="10" t="s">
        <v>64</v>
      </c>
      <c r="G15" s="37">
        <v>0</v>
      </c>
    </row>
    <row r="16" spans="3:7">
      <c r="C16" s="36" t="s">
        <v>27</v>
      </c>
      <c r="D16" s="10" t="s">
        <v>6</v>
      </c>
      <c r="E16" s="10" t="s">
        <v>28</v>
      </c>
      <c r="F16" s="10" t="s">
        <v>29</v>
      </c>
      <c r="G16" s="37">
        <v>114</v>
      </c>
    </row>
    <row r="17" spans="3:7" ht="17" thickBot="1">
      <c r="C17" s="38" t="s">
        <v>27</v>
      </c>
      <c r="D17" s="39" t="s">
        <v>6</v>
      </c>
      <c r="E17" s="39" t="s">
        <v>34</v>
      </c>
      <c r="F17" s="39" t="s">
        <v>35</v>
      </c>
      <c r="G17" s="40">
        <v>115</v>
      </c>
    </row>
    <row r="18" spans="3:7">
      <c r="C18" s="51" t="s">
        <v>40</v>
      </c>
      <c r="D18" s="32" t="s">
        <v>18</v>
      </c>
      <c r="E18" s="32" t="s">
        <v>49</v>
      </c>
      <c r="F18" s="32" t="s">
        <v>50</v>
      </c>
      <c r="G18" s="52">
        <v>1140</v>
      </c>
    </row>
    <row r="19" spans="3:7" ht="17" thickBot="1">
      <c r="C19" s="46" t="s">
        <v>40</v>
      </c>
      <c r="D19" s="47" t="s">
        <v>6</v>
      </c>
      <c r="E19" s="47" t="s">
        <v>43</v>
      </c>
      <c r="F19" s="47" t="s">
        <v>44</v>
      </c>
      <c r="G19" s="48">
        <v>1728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4CEB-B842-8345-8F75-E4D010288A82}">
  <sheetPr codeName="Sheet7"/>
  <dimension ref="B3:F23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6" t="s">
        <v>5</v>
      </c>
      <c r="C5" s="17" t="s">
        <v>18</v>
      </c>
      <c r="D5" s="17" t="s">
        <v>7</v>
      </c>
      <c r="E5" s="17" t="s">
        <v>8</v>
      </c>
      <c r="F5" s="18">
        <v>1</v>
      </c>
    </row>
    <row r="6" spans="2:6">
      <c r="B6" s="19" t="s">
        <v>5</v>
      </c>
      <c r="C6" s="8" t="s">
        <v>18</v>
      </c>
      <c r="D6" s="8" t="s">
        <v>11</v>
      </c>
      <c r="E6" s="8" t="s">
        <v>12</v>
      </c>
      <c r="F6" s="20">
        <v>0</v>
      </c>
    </row>
    <row r="7" spans="2:6">
      <c r="B7" s="19" t="s">
        <v>5</v>
      </c>
      <c r="C7" s="8" t="s">
        <v>6</v>
      </c>
      <c r="D7" s="8" t="s">
        <v>51</v>
      </c>
      <c r="E7" s="8" t="s">
        <v>52</v>
      </c>
      <c r="F7" s="20">
        <v>31</v>
      </c>
    </row>
    <row r="8" spans="2:6" ht="17" thickBot="1">
      <c r="B8" s="24" t="s">
        <v>5</v>
      </c>
      <c r="C8" s="25" t="s">
        <v>6</v>
      </c>
      <c r="D8" s="25" t="s">
        <v>15</v>
      </c>
      <c r="E8" s="25" t="s">
        <v>16</v>
      </c>
      <c r="F8" s="26">
        <v>110</v>
      </c>
    </row>
    <row r="9" spans="2:6">
      <c r="B9" s="49" t="s">
        <v>17</v>
      </c>
      <c r="C9" s="15" t="s">
        <v>18</v>
      </c>
      <c r="D9" s="15" t="s">
        <v>21</v>
      </c>
      <c r="E9" s="15" t="s">
        <v>22</v>
      </c>
      <c r="F9" s="50">
        <v>111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466</v>
      </c>
    </row>
    <row r="11" spans="2:6">
      <c r="B11" s="30" t="s">
        <v>17</v>
      </c>
      <c r="C11" s="9" t="s">
        <v>18</v>
      </c>
      <c r="D11" s="9" t="s">
        <v>25</v>
      </c>
      <c r="E11" s="9" t="s">
        <v>26</v>
      </c>
      <c r="F11" s="31">
        <v>30</v>
      </c>
    </row>
    <row r="12" spans="2:6">
      <c r="B12" s="30" t="s">
        <v>17</v>
      </c>
      <c r="C12" s="9" t="s">
        <v>6</v>
      </c>
      <c r="D12" s="9" t="s">
        <v>55</v>
      </c>
      <c r="E12" s="9" t="s">
        <v>56</v>
      </c>
      <c r="F12" s="31">
        <v>18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103</v>
      </c>
    </row>
    <row r="14" spans="2:6" ht="17" thickBot="1">
      <c r="B14" s="21" t="s">
        <v>17</v>
      </c>
      <c r="C14" s="22" t="s">
        <v>6</v>
      </c>
      <c r="D14" s="22" t="s">
        <v>19</v>
      </c>
      <c r="E14" s="22" t="s">
        <v>20</v>
      </c>
      <c r="F14" s="23">
        <v>24</v>
      </c>
    </row>
    <row r="15" spans="2:6">
      <c r="B15" s="36" t="s">
        <v>27</v>
      </c>
      <c r="C15" s="10" t="s">
        <v>18</v>
      </c>
      <c r="D15" s="10" t="s">
        <v>61</v>
      </c>
      <c r="E15" s="10" t="s">
        <v>62</v>
      </c>
      <c r="F15" s="37">
        <v>165</v>
      </c>
    </row>
    <row r="16" spans="2:6">
      <c r="B16" s="36" t="s">
        <v>27</v>
      </c>
      <c r="C16" s="10" t="s">
        <v>18</v>
      </c>
      <c r="D16" s="10" t="s">
        <v>28</v>
      </c>
      <c r="E16" s="10" t="s">
        <v>29</v>
      </c>
      <c r="F16" s="37">
        <v>0</v>
      </c>
    </row>
    <row r="17" spans="2:6">
      <c r="B17" s="36" t="s">
        <v>27</v>
      </c>
      <c r="C17" s="10" t="s">
        <v>18</v>
      </c>
      <c r="D17" s="10" t="s">
        <v>32</v>
      </c>
      <c r="E17" s="10" t="s">
        <v>33</v>
      </c>
      <c r="F17" s="37">
        <v>76</v>
      </c>
    </row>
    <row r="18" spans="2:6">
      <c r="B18" s="36" t="s">
        <v>27</v>
      </c>
      <c r="C18" s="10" t="s">
        <v>18</v>
      </c>
      <c r="D18" s="10" t="s">
        <v>36</v>
      </c>
      <c r="E18" s="10" t="s">
        <v>37</v>
      </c>
      <c r="F18" s="37">
        <v>224</v>
      </c>
    </row>
    <row r="19" spans="2:6">
      <c r="B19" s="36" t="s">
        <v>27</v>
      </c>
      <c r="C19" s="10" t="s">
        <v>6</v>
      </c>
      <c r="D19" s="10" t="s">
        <v>30</v>
      </c>
      <c r="E19" s="10" t="s">
        <v>31</v>
      </c>
      <c r="F19" s="37">
        <v>349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365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2</v>
      </c>
    </row>
    <row r="22" spans="2:6">
      <c r="B22" s="51" t="s">
        <v>40</v>
      </c>
      <c r="C22" s="32" t="s">
        <v>6</v>
      </c>
      <c r="D22" s="32" t="s">
        <v>45</v>
      </c>
      <c r="E22" s="32" t="s">
        <v>46</v>
      </c>
      <c r="F22" s="52">
        <v>300</v>
      </c>
    </row>
    <row r="23" spans="2:6" ht="17" thickBot="1">
      <c r="B23" s="46" t="s">
        <v>40</v>
      </c>
      <c r="C23" s="47" t="s">
        <v>6</v>
      </c>
      <c r="D23" s="47" t="s">
        <v>49</v>
      </c>
      <c r="E23" s="47" t="s">
        <v>50</v>
      </c>
      <c r="F23" s="48">
        <v>236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CE13-A7FD-5F40-BB49-34B8E90B07DD}">
  <dimension ref="B2:F17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  <col min="7" max="7" width="4.33203125" customWidth="1"/>
  </cols>
  <sheetData>
    <row r="2" spans="2:6" ht="17" thickBot="1"/>
    <row r="3" spans="2:6" ht="20" thickBot="1">
      <c r="B3" s="53" t="s">
        <v>0</v>
      </c>
      <c r="C3" s="54" t="s">
        <v>1</v>
      </c>
      <c r="D3" s="54" t="s">
        <v>2</v>
      </c>
      <c r="E3" s="54" t="s">
        <v>3</v>
      </c>
      <c r="F3" s="55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125</v>
      </c>
    </row>
    <row r="5" spans="2:6" ht="17" thickBot="1">
      <c r="B5" s="24" t="s">
        <v>5</v>
      </c>
      <c r="C5" s="25" t="s">
        <v>18</v>
      </c>
      <c r="D5" s="25" t="s">
        <v>7</v>
      </c>
      <c r="E5" s="25" t="s">
        <v>8</v>
      </c>
      <c r="F5" s="26">
        <v>3</v>
      </c>
    </row>
    <row r="6" spans="2:6">
      <c r="B6" s="27" t="s">
        <v>17</v>
      </c>
      <c r="C6" s="28" t="s">
        <v>6</v>
      </c>
      <c r="D6" s="28" t="s">
        <v>55</v>
      </c>
      <c r="E6" s="28" t="s">
        <v>56</v>
      </c>
      <c r="F6" s="29">
        <v>31</v>
      </c>
    </row>
    <row r="7" spans="2:6">
      <c r="B7" s="30" t="s">
        <v>17</v>
      </c>
      <c r="C7" s="9" t="s">
        <v>6</v>
      </c>
      <c r="D7" s="9" t="s">
        <v>21</v>
      </c>
      <c r="E7" s="9" t="s">
        <v>22</v>
      </c>
      <c r="F7" s="31">
        <v>62</v>
      </c>
    </row>
    <row r="8" spans="2:6">
      <c r="B8" s="30" t="s">
        <v>17</v>
      </c>
      <c r="C8" s="9" t="s">
        <v>6</v>
      </c>
      <c r="D8" s="9" t="s">
        <v>23</v>
      </c>
      <c r="E8" s="9" t="s">
        <v>24</v>
      </c>
      <c r="F8" s="31">
        <v>259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65</v>
      </c>
    </row>
    <row r="10" spans="2:6">
      <c r="B10" s="30" t="s">
        <v>17</v>
      </c>
      <c r="C10" s="9" t="s">
        <v>6</v>
      </c>
      <c r="D10" s="9" t="s">
        <v>19</v>
      </c>
      <c r="E10" s="9" t="s">
        <v>20</v>
      </c>
      <c r="F10" s="31">
        <v>110</v>
      </c>
    </row>
    <row r="11" spans="2:6" ht="17" thickBot="1">
      <c r="B11" s="21" t="s">
        <v>17</v>
      </c>
      <c r="C11" s="22" t="s">
        <v>6</v>
      </c>
      <c r="D11" s="22" t="s">
        <v>25</v>
      </c>
      <c r="E11" s="22" t="s">
        <v>26</v>
      </c>
      <c r="F11" s="23">
        <v>190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110</v>
      </c>
    </row>
    <row r="13" spans="2:6">
      <c r="B13" s="36" t="s">
        <v>27</v>
      </c>
      <c r="C13" s="10" t="s">
        <v>18</v>
      </c>
      <c r="D13" s="10" t="s">
        <v>32</v>
      </c>
      <c r="E13" s="10" t="s">
        <v>33</v>
      </c>
      <c r="F13" s="37">
        <v>54</v>
      </c>
    </row>
    <row r="14" spans="2:6">
      <c r="B14" s="36" t="s">
        <v>27</v>
      </c>
      <c r="C14" s="10" t="s">
        <v>18</v>
      </c>
      <c r="D14" s="10" t="s">
        <v>34</v>
      </c>
      <c r="E14" s="10" t="s">
        <v>35</v>
      </c>
      <c r="F14" s="37">
        <v>100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228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305</v>
      </c>
    </row>
    <row r="17" spans="2:6" ht="17" thickBot="1">
      <c r="B17" s="56" t="s">
        <v>40</v>
      </c>
      <c r="C17" s="57" t="s">
        <v>6</v>
      </c>
      <c r="D17" s="57" t="s">
        <v>49</v>
      </c>
      <c r="E17" s="57" t="s">
        <v>50</v>
      </c>
      <c r="F17" s="58">
        <v>507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8C81-7A37-E74B-BB99-366FA70D3832}">
  <dimension ref="B1:J21"/>
  <sheetViews>
    <sheetView showGridLines="0" zoomScaleNormal="100" workbookViewId="0">
      <selection activeCell="B2" sqref="B2:F18"/>
    </sheetView>
  </sheetViews>
  <sheetFormatPr baseColWidth="10" defaultRowHeight="16"/>
  <cols>
    <col min="5" max="5" width="13" bestFit="1" customWidth="1"/>
    <col min="7" max="7" width="4.1640625" customWidth="1"/>
  </cols>
  <sheetData>
    <row r="1" spans="2:6" ht="17" thickBot="1"/>
    <row r="2" spans="2:6" ht="20" thickBot="1">
      <c r="B2" s="12" t="s">
        <v>0</v>
      </c>
      <c r="C2" s="13" t="s">
        <v>1</v>
      </c>
      <c r="D2" s="13" t="s">
        <v>2</v>
      </c>
      <c r="E2" s="13" t="s">
        <v>3</v>
      </c>
      <c r="F2" s="14" t="s">
        <v>4</v>
      </c>
    </row>
    <row r="3" spans="2:6">
      <c r="B3" s="16" t="s">
        <v>5</v>
      </c>
      <c r="C3" s="17" t="s">
        <v>6</v>
      </c>
      <c r="D3" s="17" t="s">
        <v>51</v>
      </c>
      <c r="E3" s="17" t="s">
        <v>52</v>
      </c>
      <c r="F3" s="18">
        <v>996</v>
      </c>
    </row>
    <row r="4" spans="2:6" ht="17" thickBot="1">
      <c r="B4" s="24" t="s">
        <v>5</v>
      </c>
      <c r="C4" s="25" t="s">
        <v>6</v>
      </c>
      <c r="D4" s="25" t="s">
        <v>15</v>
      </c>
      <c r="E4" s="25" t="s">
        <v>16</v>
      </c>
      <c r="F4" s="26">
        <v>30</v>
      </c>
    </row>
    <row r="5" spans="2:6">
      <c r="B5" s="27" t="s">
        <v>17</v>
      </c>
      <c r="C5" s="28" t="s">
        <v>18</v>
      </c>
      <c r="D5" s="28" t="s">
        <v>23</v>
      </c>
      <c r="E5" s="28" t="s">
        <v>24</v>
      </c>
      <c r="F5" s="29">
        <v>0</v>
      </c>
    </row>
    <row r="6" spans="2:6">
      <c r="B6" s="30" t="s">
        <v>17</v>
      </c>
      <c r="C6" s="9" t="s">
        <v>18</v>
      </c>
      <c r="D6" s="9" t="s">
        <v>19</v>
      </c>
      <c r="E6" s="9" t="s">
        <v>20</v>
      </c>
      <c r="F6" s="31">
        <v>88</v>
      </c>
    </row>
    <row r="7" spans="2:6">
      <c r="B7" s="30" t="s">
        <v>17</v>
      </c>
      <c r="C7" s="9" t="s">
        <v>6</v>
      </c>
      <c r="D7" s="9" t="s">
        <v>55</v>
      </c>
      <c r="E7" s="9" t="s">
        <v>56</v>
      </c>
      <c r="F7" s="31">
        <v>735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63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230</v>
      </c>
    </row>
    <row r="10" spans="2:6" ht="17" thickBot="1">
      <c r="B10" s="21" t="s">
        <v>17</v>
      </c>
      <c r="C10" s="22" t="s">
        <v>6</v>
      </c>
      <c r="D10" s="22" t="s">
        <v>25</v>
      </c>
      <c r="E10" s="22" t="s">
        <v>26</v>
      </c>
      <c r="F10" s="23">
        <v>130</v>
      </c>
    </row>
    <row r="11" spans="2:6">
      <c r="B11" s="33" t="s">
        <v>27</v>
      </c>
      <c r="C11" s="34" t="s">
        <v>18</v>
      </c>
      <c r="D11" s="34" t="s">
        <v>30</v>
      </c>
      <c r="E11" s="34" t="s">
        <v>31</v>
      </c>
      <c r="F11" s="35">
        <v>116</v>
      </c>
    </row>
    <row r="12" spans="2:6">
      <c r="B12" s="36" t="s">
        <v>27</v>
      </c>
      <c r="C12" s="10" t="s">
        <v>18</v>
      </c>
      <c r="D12" s="10" t="s">
        <v>28</v>
      </c>
      <c r="E12" s="10" t="s">
        <v>29</v>
      </c>
      <c r="F12" s="37">
        <v>0</v>
      </c>
    </row>
    <row r="13" spans="2:6">
      <c r="B13" s="36" t="s">
        <v>27</v>
      </c>
      <c r="C13" s="10" t="s">
        <v>6</v>
      </c>
      <c r="D13" s="10" t="s">
        <v>61</v>
      </c>
      <c r="E13" s="10" t="s">
        <v>62</v>
      </c>
      <c r="F13" s="37">
        <v>36</v>
      </c>
    </row>
    <row r="14" spans="2:6">
      <c r="B14" s="36" t="s">
        <v>27</v>
      </c>
      <c r="C14" s="10" t="s">
        <v>6</v>
      </c>
      <c r="D14" s="10" t="s">
        <v>32</v>
      </c>
      <c r="E14" s="10" t="s">
        <v>33</v>
      </c>
      <c r="F14" s="37">
        <v>278</v>
      </c>
    </row>
    <row r="15" spans="2:6">
      <c r="B15" s="36" t="s">
        <v>27</v>
      </c>
      <c r="C15" s="10" t="s">
        <v>6</v>
      </c>
      <c r="D15" s="10" t="s">
        <v>34</v>
      </c>
      <c r="E15" s="10" t="s">
        <v>35</v>
      </c>
      <c r="F15" s="37">
        <v>78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750</v>
      </c>
    </row>
    <row r="17" spans="2:10">
      <c r="B17" s="41" t="s">
        <v>40</v>
      </c>
      <c r="C17" s="42" t="s">
        <v>6</v>
      </c>
      <c r="D17" s="42" t="s">
        <v>47</v>
      </c>
      <c r="E17" s="42" t="s">
        <v>48</v>
      </c>
      <c r="F17" s="43">
        <v>12</v>
      </c>
    </row>
    <row r="18" spans="2:10" ht="17" thickBot="1">
      <c r="B18" s="46" t="s">
        <v>40</v>
      </c>
      <c r="C18" s="47" t="s">
        <v>6</v>
      </c>
      <c r="D18" s="47" t="s">
        <v>49</v>
      </c>
      <c r="E18" s="47" t="s">
        <v>50</v>
      </c>
      <c r="F18" s="48">
        <v>567</v>
      </c>
    </row>
    <row r="21" spans="2:10">
      <c r="J21">
        <f>-100-33-52+60-75-50-25+87</f>
        <v>-188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8127-6780-EE4F-8854-49952B86BD46}">
  <dimension ref="B3:F29"/>
  <sheetViews>
    <sheetView showGridLines="0" workbookViewId="0">
      <selection activeCell="D6" sqref="D6"/>
    </sheetView>
  </sheetViews>
  <sheetFormatPr baseColWidth="10" defaultRowHeight="16"/>
  <cols>
    <col min="5" max="5" width="13" bestFit="1" customWidth="1"/>
    <col min="7" max="7" width="3.332031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18</v>
      </c>
      <c r="D5" s="17" t="s">
        <v>51</v>
      </c>
      <c r="E5" s="17" t="s">
        <v>52</v>
      </c>
      <c r="F5" s="18">
        <v>100</v>
      </c>
    </row>
    <row r="6" spans="2:6">
      <c r="B6" s="19" t="s">
        <v>5</v>
      </c>
      <c r="C6" s="8" t="s">
        <v>6</v>
      </c>
      <c r="D6" s="8" t="s">
        <v>7</v>
      </c>
      <c r="E6" s="8" t="s">
        <v>8</v>
      </c>
      <c r="F6" s="20">
        <v>300</v>
      </c>
    </row>
    <row r="7" spans="2:6" ht="17" thickBot="1">
      <c r="B7" s="24" t="s">
        <v>5</v>
      </c>
      <c r="C7" s="25" t="s">
        <v>6</v>
      </c>
      <c r="D7" s="25" t="s">
        <v>11</v>
      </c>
      <c r="E7" s="25" t="s">
        <v>12</v>
      </c>
      <c r="F7" s="26">
        <v>660</v>
      </c>
    </row>
    <row r="8" spans="2:6">
      <c r="B8" s="27" t="s">
        <v>17</v>
      </c>
      <c r="C8" s="28" t="s">
        <v>18</v>
      </c>
      <c r="D8" s="28" t="s">
        <v>55</v>
      </c>
      <c r="E8" s="28" t="s">
        <v>56</v>
      </c>
      <c r="F8" s="29">
        <v>79</v>
      </c>
    </row>
    <row r="9" spans="2:6">
      <c r="B9" s="30" t="s">
        <v>17</v>
      </c>
      <c r="C9" s="9" t="s">
        <v>18</v>
      </c>
      <c r="D9" s="9" t="s">
        <v>69</v>
      </c>
      <c r="E9" s="9" t="s">
        <v>70</v>
      </c>
      <c r="F9" s="31">
        <v>540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144</v>
      </c>
    </row>
    <row r="11" spans="2:6">
      <c r="B11" s="30" t="s">
        <v>17</v>
      </c>
      <c r="C11" s="9" t="s">
        <v>18</v>
      </c>
      <c r="D11" s="9" t="s">
        <v>19</v>
      </c>
      <c r="E11" s="9" t="s">
        <v>20</v>
      </c>
      <c r="F11" s="31">
        <v>21</v>
      </c>
    </row>
    <row r="12" spans="2:6">
      <c r="B12" s="30" t="s">
        <v>17</v>
      </c>
      <c r="C12" s="9" t="s">
        <v>6</v>
      </c>
      <c r="D12" s="9" t="s">
        <v>21</v>
      </c>
      <c r="E12" s="9" t="s">
        <v>22</v>
      </c>
      <c r="F12" s="31">
        <v>152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22</v>
      </c>
    </row>
    <row r="14" spans="2:6">
      <c r="B14" s="30" t="s">
        <v>17</v>
      </c>
      <c r="C14" s="9" t="s">
        <v>6</v>
      </c>
      <c r="D14" s="9" t="s">
        <v>25</v>
      </c>
      <c r="E14" s="9" t="s">
        <v>26</v>
      </c>
      <c r="F14" s="31">
        <v>435</v>
      </c>
    </row>
    <row r="15" spans="2:6" ht="17" thickBot="1">
      <c r="B15" s="21" t="s">
        <v>17</v>
      </c>
      <c r="C15" s="22" t="s">
        <v>6</v>
      </c>
      <c r="D15" s="22" t="s">
        <v>67</v>
      </c>
      <c r="E15" s="22" t="s">
        <v>68</v>
      </c>
      <c r="F15" s="23">
        <v>10</v>
      </c>
    </row>
    <row r="16" spans="2:6">
      <c r="B16" s="33" t="s">
        <v>27</v>
      </c>
      <c r="C16" s="34" t="s">
        <v>18</v>
      </c>
      <c r="D16" s="34" t="s">
        <v>61</v>
      </c>
      <c r="E16" s="34" t="s">
        <v>62</v>
      </c>
      <c r="F16" s="35">
        <v>299</v>
      </c>
    </row>
    <row r="17" spans="2:6">
      <c r="B17" s="36" t="s">
        <v>27</v>
      </c>
      <c r="C17" s="10" t="s">
        <v>18</v>
      </c>
      <c r="D17" s="10" t="s">
        <v>30</v>
      </c>
      <c r="E17" s="10" t="s">
        <v>31</v>
      </c>
      <c r="F17" s="37">
        <v>250</v>
      </c>
    </row>
    <row r="18" spans="2:6">
      <c r="B18" s="36" t="s">
        <v>27</v>
      </c>
      <c r="C18" s="10" t="s">
        <v>18</v>
      </c>
      <c r="D18" s="10" t="s">
        <v>28</v>
      </c>
      <c r="E18" s="10" t="s">
        <v>29</v>
      </c>
      <c r="F18" s="37">
        <v>0</v>
      </c>
    </row>
    <row r="19" spans="2:6">
      <c r="B19" s="36" t="s">
        <v>27</v>
      </c>
      <c r="C19" s="10" t="s">
        <v>18</v>
      </c>
      <c r="D19" s="10" t="s">
        <v>32</v>
      </c>
      <c r="E19" s="10" t="s">
        <v>33</v>
      </c>
      <c r="F19" s="37">
        <v>188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194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90</v>
      </c>
    </row>
    <row r="22" spans="2:6">
      <c r="B22" s="41" t="s">
        <v>40</v>
      </c>
      <c r="C22" s="42" t="s">
        <v>6</v>
      </c>
      <c r="D22" s="42" t="s">
        <v>47</v>
      </c>
      <c r="E22" s="42" t="s">
        <v>48</v>
      </c>
      <c r="F22" s="43">
        <v>199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82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1800</v>
      </c>
    </row>
    <row r="29" spans="2:6">
      <c r="C29">
        <f>11638+1200</f>
        <v>12838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02C1-41EB-D245-9DBC-5946D19CCEA9}">
  <dimension ref="B3:O28"/>
  <sheetViews>
    <sheetView showGridLines="0" workbookViewId="0">
      <selection activeCell="B21" sqref="B21:F21"/>
    </sheetView>
  </sheetViews>
  <sheetFormatPr baseColWidth="10" defaultRowHeight="16"/>
  <cols>
    <col min="5" max="5" width="12.5" bestFit="1" customWidth="1"/>
    <col min="7" max="7" width="4.16406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11</v>
      </c>
      <c r="E5" s="17" t="s">
        <v>12</v>
      </c>
      <c r="F5" s="18">
        <v>140</v>
      </c>
    </row>
    <row r="6" spans="2:6" ht="17" thickBot="1">
      <c r="B6" s="19" t="s">
        <v>5</v>
      </c>
      <c r="C6" s="8" t="s">
        <v>6</v>
      </c>
      <c r="D6" s="8" t="s">
        <v>15</v>
      </c>
      <c r="E6" s="8" t="s">
        <v>16</v>
      </c>
      <c r="F6" s="20">
        <v>50</v>
      </c>
    </row>
    <row r="7" spans="2:6">
      <c r="B7" s="27" t="s">
        <v>17</v>
      </c>
      <c r="C7" s="28" t="s">
        <v>18</v>
      </c>
      <c r="D7" s="28" t="s">
        <v>67</v>
      </c>
      <c r="E7" s="28" t="s">
        <v>68</v>
      </c>
      <c r="F7" s="29">
        <v>0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40</v>
      </c>
    </row>
    <row r="9" spans="2:6">
      <c r="B9" s="30" t="s">
        <v>17</v>
      </c>
      <c r="C9" s="9" t="s">
        <v>6</v>
      </c>
      <c r="D9" s="9" t="s">
        <v>23</v>
      </c>
      <c r="E9" s="9" t="s">
        <v>24</v>
      </c>
      <c r="F9" s="31">
        <v>171</v>
      </c>
    </row>
    <row r="10" spans="2:6">
      <c r="B10" s="30" t="s">
        <v>17</v>
      </c>
      <c r="C10" s="9" t="s">
        <v>6</v>
      </c>
      <c r="D10" s="9" t="s">
        <v>57</v>
      </c>
      <c r="E10" s="9" t="s">
        <v>58</v>
      </c>
      <c r="F10" s="31">
        <v>50</v>
      </c>
    </row>
    <row r="11" spans="2:6" ht="17" thickBot="1">
      <c r="B11" s="30" t="s">
        <v>17</v>
      </c>
      <c r="C11" s="9" t="s">
        <v>6</v>
      </c>
      <c r="D11" s="9" t="s">
        <v>19</v>
      </c>
      <c r="E11" s="9" t="s">
        <v>20</v>
      </c>
      <c r="F11" s="31">
        <v>3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310</v>
      </c>
    </row>
    <row r="13" spans="2:6">
      <c r="B13" s="36" t="s">
        <v>27</v>
      </c>
      <c r="C13" s="10" t="s">
        <v>18</v>
      </c>
      <c r="D13" s="10" t="s">
        <v>28</v>
      </c>
      <c r="E13" s="10" t="s">
        <v>29</v>
      </c>
      <c r="F13" s="37">
        <v>0</v>
      </c>
    </row>
    <row r="14" spans="2:6">
      <c r="B14" s="36" t="s">
        <v>27</v>
      </c>
      <c r="C14" s="10" t="s">
        <v>18</v>
      </c>
      <c r="D14" s="10" t="s">
        <v>32</v>
      </c>
      <c r="E14" s="10" t="s">
        <v>33</v>
      </c>
      <c r="F14" s="37">
        <v>74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1017.9</v>
      </c>
    </row>
    <row r="16" spans="2:6">
      <c r="B16" s="36" t="s">
        <v>27</v>
      </c>
      <c r="C16" s="10" t="s">
        <v>6</v>
      </c>
      <c r="D16" s="10" t="s">
        <v>34</v>
      </c>
      <c r="E16" s="10" t="s">
        <v>35</v>
      </c>
      <c r="F16" s="37">
        <v>165</v>
      </c>
    </row>
    <row r="17" spans="2:15">
      <c r="B17" s="36" t="s">
        <v>27</v>
      </c>
      <c r="C17" s="10" t="s">
        <v>6</v>
      </c>
      <c r="D17" s="10" t="s">
        <v>36</v>
      </c>
      <c r="E17" s="10" t="s">
        <v>37</v>
      </c>
      <c r="F17" s="37">
        <v>40</v>
      </c>
    </row>
    <row r="18" spans="2:15" ht="17" thickBot="1">
      <c r="B18" s="36" t="s">
        <v>27</v>
      </c>
      <c r="C18" s="10" t="s">
        <v>6</v>
      </c>
      <c r="D18" s="10" t="s">
        <v>63</v>
      </c>
      <c r="E18" s="10" t="s">
        <v>64</v>
      </c>
      <c r="F18" s="37">
        <v>40</v>
      </c>
    </row>
    <row r="19" spans="2:15">
      <c r="B19" s="41" t="s">
        <v>40</v>
      </c>
      <c r="C19" s="42" t="s">
        <v>6</v>
      </c>
      <c r="D19" s="42" t="s">
        <v>47</v>
      </c>
      <c r="E19" s="42" t="s">
        <v>48</v>
      </c>
      <c r="F19" s="43">
        <v>200</v>
      </c>
    </row>
    <row r="20" spans="2:15">
      <c r="B20" s="44" t="s">
        <v>40</v>
      </c>
      <c r="C20" s="11" t="s">
        <v>6</v>
      </c>
      <c r="D20" s="11" t="s">
        <v>65</v>
      </c>
      <c r="E20" s="11" t="s">
        <v>66</v>
      </c>
      <c r="F20" s="45">
        <v>30</v>
      </c>
    </row>
    <row r="21" spans="2:15" ht="17" thickBot="1">
      <c r="B21" s="46" t="s">
        <v>40</v>
      </c>
      <c r="C21" s="47" t="s">
        <v>6</v>
      </c>
      <c r="D21" s="47" t="s">
        <v>49</v>
      </c>
      <c r="E21" s="47" t="s">
        <v>50</v>
      </c>
      <c r="F21" s="48">
        <v>896</v>
      </c>
    </row>
    <row r="23" spans="2:15">
      <c r="K23" s="59">
        <v>250000</v>
      </c>
      <c r="L23">
        <f>K23/1000</f>
        <v>250</v>
      </c>
    </row>
    <row r="24" spans="2:15">
      <c r="K24" s="59"/>
      <c r="L24">
        <v>20</v>
      </c>
    </row>
    <row r="25" spans="2:15">
      <c r="K25" s="59"/>
      <c r="L25">
        <v>20</v>
      </c>
    </row>
    <row r="26" spans="2:15">
      <c r="K26" s="59"/>
      <c r="N26">
        <f>SUM(L23:L25)</f>
        <v>290</v>
      </c>
    </row>
    <row r="27" spans="2:15">
      <c r="K27" s="59"/>
      <c r="N27">
        <f>N26/171000</f>
        <v>1.695906432748538E-3</v>
      </c>
      <c r="O27">
        <f>N27*35000</f>
        <v>59.356725146198833</v>
      </c>
    </row>
    <row r="28" spans="2:15">
      <c r="O28">
        <f>O27*500</f>
        <v>29678.362573099417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B892-41B3-6744-87FC-600D44CF1E01}">
  <dimension ref="B3:F15"/>
  <sheetViews>
    <sheetView showGridLines="0" workbookViewId="0">
      <selection activeCell="D5" sqref="D5"/>
    </sheetView>
  </sheetViews>
  <sheetFormatPr baseColWidth="10" defaultRowHeight="16"/>
  <cols>
    <col min="5" max="5" width="12.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7</v>
      </c>
      <c r="E5" s="17" t="s">
        <v>8</v>
      </c>
      <c r="F5" s="18">
        <v>130</v>
      </c>
    </row>
    <row r="6" spans="2:6" ht="17" thickBot="1">
      <c r="B6" s="24" t="s">
        <v>5</v>
      </c>
      <c r="C6" s="25" t="s">
        <v>6</v>
      </c>
      <c r="D6" s="25" t="s">
        <v>15</v>
      </c>
      <c r="E6" s="25" t="s">
        <v>16</v>
      </c>
      <c r="F6" s="26">
        <v>50</v>
      </c>
    </row>
    <row r="7" spans="2:6">
      <c r="B7" s="27" t="s">
        <v>17</v>
      </c>
      <c r="C7" s="28" t="s">
        <v>18</v>
      </c>
      <c r="D7" s="28" t="s">
        <v>19</v>
      </c>
      <c r="E7" s="28" t="s">
        <v>20</v>
      </c>
      <c r="F7" s="29">
        <v>156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80</v>
      </c>
    </row>
    <row r="9" spans="2:6" ht="17" thickBot="1">
      <c r="B9" s="21" t="s">
        <v>17</v>
      </c>
      <c r="C9" s="22" t="s">
        <v>6</v>
      </c>
      <c r="D9" s="22" t="s">
        <v>67</v>
      </c>
      <c r="E9" s="22" t="s">
        <v>68</v>
      </c>
      <c r="F9" s="23">
        <v>17</v>
      </c>
    </row>
    <row r="10" spans="2:6">
      <c r="B10" s="33" t="s">
        <v>27</v>
      </c>
      <c r="C10" s="34" t="s">
        <v>18</v>
      </c>
      <c r="D10" s="34" t="s">
        <v>30</v>
      </c>
      <c r="E10" s="34" t="s">
        <v>31</v>
      </c>
      <c r="F10" s="35">
        <v>296</v>
      </c>
    </row>
    <row r="11" spans="2:6">
      <c r="B11" s="36" t="s">
        <v>27</v>
      </c>
      <c r="C11" s="10" t="s">
        <v>18</v>
      </c>
      <c r="D11" s="10" t="s">
        <v>28</v>
      </c>
      <c r="E11" s="10" t="s">
        <v>29</v>
      </c>
      <c r="F11" s="37">
        <v>0</v>
      </c>
    </row>
    <row r="12" spans="2:6">
      <c r="B12" s="36" t="s">
        <v>27</v>
      </c>
      <c r="C12" s="10" t="s">
        <v>18</v>
      </c>
      <c r="D12" s="10" t="s">
        <v>36</v>
      </c>
      <c r="E12" s="10" t="s">
        <v>37</v>
      </c>
      <c r="F12" s="37">
        <v>268</v>
      </c>
    </row>
    <row r="13" spans="2:6">
      <c r="B13" s="36" t="s">
        <v>27</v>
      </c>
      <c r="C13" s="10" t="s">
        <v>6</v>
      </c>
      <c r="D13" s="10" t="s">
        <v>32</v>
      </c>
      <c r="E13" s="10" t="s">
        <v>33</v>
      </c>
      <c r="F13" s="37">
        <v>107</v>
      </c>
    </row>
    <row r="14" spans="2:6" ht="17" thickBot="1">
      <c r="B14" s="38" t="s">
        <v>27</v>
      </c>
      <c r="C14" s="39" t="s">
        <v>6</v>
      </c>
      <c r="D14" s="39" t="s">
        <v>71</v>
      </c>
      <c r="E14" s="39" t="s">
        <v>39</v>
      </c>
      <c r="F14" s="40">
        <v>581</v>
      </c>
    </row>
    <row r="15" spans="2:6" ht="17" thickBot="1">
      <c r="B15" s="60" t="s">
        <v>40</v>
      </c>
      <c r="C15" s="61" t="s">
        <v>6</v>
      </c>
      <c r="D15" s="61" t="s">
        <v>47</v>
      </c>
      <c r="E15" s="61" t="s">
        <v>48</v>
      </c>
      <c r="F15" s="62">
        <v>105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77AF-C2D7-1A40-B8BE-C705F507615B}">
  <dimension ref="B3:AF11"/>
  <sheetViews>
    <sheetView showGridLines="0" workbookViewId="0">
      <selection activeCell="L27" sqref="L27"/>
    </sheetView>
  </sheetViews>
  <sheetFormatPr baseColWidth="10" defaultRowHeight="16"/>
  <cols>
    <col min="7" max="7" width="4.6640625" customWidth="1"/>
    <col min="9" max="9" width="15" bestFit="1" customWidth="1"/>
    <col min="10" max="10" width="10.1640625" bestFit="1" customWidth="1"/>
    <col min="11" max="11" width="15" bestFit="1" customWidth="1"/>
  </cols>
  <sheetData>
    <row r="3" spans="2:32" ht="17" thickBot="1"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</row>
    <row r="4" spans="2:32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  <c r="G4" s="65"/>
      <c r="H4" s="12" t="s">
        <v>72</v>
      </c>
      <c r="I4" s="13" t="s">
        <v>73</v>
      </c>
      <c r="J4" s="13" t="s">
        <v>74</v>
      </c>
      <c r="K4" s="14" t="s">
        <v>75</v>
      </c>
      <c r="L4" s="66"/>
      <c r="M4" s="65"/>
      <c r="N4" s="65"/>
      <c r="O4" s="66"/>
      <c r="P4" s="65"/>
      <c r="AC4" s="12" t="s">
        <v>72</v>
      </c>
      <c r="AD4" s="13" t="s">
        <v>73</v>
      </c>
      <c r="AE4" s="13" t="s">
        <v>74</v>
      </c>
      <c r="AF4" s="14" t="s">
        <v>75</v>
      </c>
    </row>
    <row r="5" spans="2:32" ht="17">
      <c r="B5" s="16" t="s">
        <v>17</v>
      </c>
      <c r="C5" s="17" t="s">
        <v>6</v>
      </c>
      <c r="D5" s="17" t="s">
        <v>21</v>
      </c>
      <c r="E5" s="17" t="s">
        <v>22</v>
      </c>
      <c r="F5" s="18">
        <v>130</v>
      </c>
      <c r="G5" s="65"/>
      <c r="H5" s="16" t="s">
        <v>27</v>
      </c>
      <c r="I5" s="17">
        <v>4</v>
      </c>
      <c r="J5" s="17">
        <v>596</v>
      </c>
      <c r="K5" s="18">
        <f>J9/2</f>
        <v>444</v>
      </c>
      <c r="L5" s="67"/>
      <c r="M5" s="64"/>
      <c r="N5" s="65"/>
      <c r="O5" s="67"/>
      <c r="P5" s="65"/>
      <c r="AC5" s="16" t="s">
        <v>27</v>
      </c>
      <c r="AD5" s="17">
        <v>4</v>
      </c>
      <c r="AE5" s="17">
        <v>596</v>
      </c>
      <c r="AF5" s="18">
        <f>AE9/2</f>
        <v>444</v>
      </c>
    </row>
    <row r="6" spans="2:32" ht="18" thickBot="1">
      <c r="B6" s="19" t="s">
        <v>17</v>
      </c>
      <c r="C6" s="8" t="s">
        <v>6</v>
      </c>
      <c r="D6" s="8" t="s">
        <v>19</v>
      </c>
      <c r="E6" s="8" t="s">
        <v>20</v>
      </c>
      <c r="F6" s="20">
        <v>12</v>
      </c>
      <c r="G6" s="65"/>
      <c r="H6" s="24" t="s">
        <v>17</v>
      </c>
      <c r="I6" s="25">
        <v>3</v>
      </c>
      <c r="J6" s="25">
        <v>292</v>
      </c>
      <c r="K6" s="26">
        <v>444</v>
      </c>
      <c r="L6" s="66"/>
      <c r="M6" s="68"/>
      <c r="N6" s="65"/>
      <c r="O6" s="66"/>
      <c r="P6" s="65"/>
      <c r="AC6" s="24" t="s">
        <v>17</v>
      </c>
      <c r="AD6" s="25">
        <v>3</v>
      </c>
      <c r="AE6" s="25">
        <v>292</v>
      </c>
      <c r="AF6" s="26">
        <v>444</v>
      </c>
    </row>
    <row r="7" spans="2:32" ht="18" thickBot="1">
      <c r="B7" s="70" t="s">
        <v>17</v>
      </c>
      <c r="C7" s="71" t="s">
        <v>6</v>
      </c>
      <c r="D7" s="71" t="s">
        <v>25</v>
      </c>
      <c r="E7" s="71" t="s">
        <v>26</v>
      </c>
      <c r="F7" s="72">
        <v>150</v>
      </c>
      <c r="G7" s="64"/>
      <c r="H7" s="73" t="s">
        <v>40</v>
      </c>
      <c r="I7" s="74">
        <v>0</v>
      </c>
      <c r="J7" s="74">
        <v>0</v>
      </c>
      <c r="K7" s="77">
        <v>0</v>
      </c>
      <c r="L7" s="67"/>
      <c r="M7" s="69"/>
      <c r="N7" s="65"/>
      <c r="O7" s="67"/>
      <c r="P7" s="65"/>
      <c r="AC7" s="73" t="s">
        <v>40</v>
      </c>
      <c r="AD7" s="74">
        <v>0</v>
      </c>
      <c r="AE7" s="74">
        <v>0</v>
      </c>
      <c r="AF7" s="77">
        <v>0</v>
      </c>
    </row>
    <row r="8" spans="2:32" ht="18" thickBot="1">
      <c r="B8" s="27" t="s">
        <v>27</v>
      </c>
      <c r="C8" s="28" t="s">
        <v>18</v>
      </c>
      <c r="D8" s="28" t="s">
        <v>30</v>
      </c>
      <c r="E8" s="28" t="s">
        <v>31</v>
      </c>
      <c r="F8" s="29">
        <v>89</v>
      </c>
      <c r="G8" s="64"/>
      <c r="H8" s="75" t="s">
        <v>5</v>
      </c>
      <c r="I8" s="76">
        <v>0</v>
      </c>
      <c r="J8" s="76">
        <v>0</v>
      </c>
      <c r="K8" s="78">
        <v>0</v>
      </c>
      <c r="L8" s="66"/>
      <c r="M8" s="69"/>
      <c r="N8" s="65">
        <f>292+152</f>
        <v>444</v>
      </c>
      <c r="O8" s="66"/>
      <c r="P8" s="65"/>
      <c r="AC8" s="75" t="s">
        <v>5</v>
      </c>
      <c r="AD8" s="76">
        <v>0</v>
      </c>
      <c r="AE8" s="76">
        <v>0</v>
      </c>
      <c r="AF8" s="78">
        <v>0</v>
      </c>
    </row>
    <row r="9" spans="2:32" ht="20" thickBot="1">
      <c r="B9" s="30" t="s">
        <v>27</v>
      </c>
      <c r="C9" s="9" t="s">
        <v>18</v>
      </c>
      <c r="D9" s="9" t="s">
        <v>36</v>
      </c>
      <c r="E9" s="9" t="s">
        <v>37</v>
      </c>
      <c r="F9" s="31">
        <v>25</v>
      </c>
      <c r="G9" s="65"/>
      <c r="H9" s="12" t="s">
        <v>76</v>
      </c>
      <c r="I9" s="13">
        <v>7</v>
      </c>
      <c r="J9" s="13">
        <v>888</v>
      </c>
      <c r="K9" s="14"/>
      <c r="L9" s="66"/>
      <c r="M9" s="68"/>
      <c r="N9" s="65"/>
      <c r="O9" s="66"/>
      <c r="P9" s="65"/>
      <c r="AC9" s="12" t="s">
        <v>76</v>
      </c>
      <c r="AD9" s="13">
        <v>7</v>
      </c>
      <c r="AE9" s="13">
        <v>888</v>
      </c>
      <c r="AF9" s="14"/>
    </row>
    <row r="10" spans="2:32" ht="18" thickBot="1">
      <c r="B10" s="30" t="s">
        <v>27</v>
      </c>
      <c r="C10" s="9" t="s">
        <v>6</v>
      </c>
      <c r="D10" s="9" t="s">
        <v>34</v>
      </c>
      <c r="E10" s="9" t="s">
        <v>35</v>
      </c>
      <c r="F10" s="31">
        <v>10</v>
      </c>
      <c r="G10" s="65"/>
      <c r="H10" s="79" t="s">
        <v>27</v>
      </c>
      <c r="I10" s="80" t="s">
        <v>77</v>
      </c>
      <c r="J10" s="80" t="s">
        <v>17</v>
      </c>
      <c r="K10" s="81">
        <v>152</v>
      </c>
      <c r="L10" s="66"/>
      <c r="M10" s="65"/>
      <c r="N10" s="65"/>
      <c r="O10" s="66"/>
      <c r="P10" s="65"/>
      <c r="AC10" s="79" t="s">
        <v>27</v>
      </c>
      <c r="AD10" s="80" t="s">
        <v>77</v>
      </c>
      <c r="AE10" s="80" t="s">
        <v>17</v>
      </c>
      <c r="AF10" s="81">
        <v>152</v>
      </c>
    </row>
    <row r="11" spans="2:32" ht="17" thickBot="1">
      <c r="B11" s="21" t="s">
        <v>27</v>
      </c>
      <c r="C11" s="22" t="s">
        <v>6</v>
      </c>
      <c r="D11" s="22" t="s">
        <v>71</v>
      </c>
      <c r="E11" s="22" t="s">
        <v>39</v>
      </c>
      <c r="F11" s="23">
        <v>700</v>
      </c>
      <c r="O11">
        <f>596-444</f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52A0-0A04-364D-86AF-0A321AD23613}">
  <dimension ref="C2:M18"/>
  <sheetViews>
    <sheetView showGridLines="0" workbookViewId="0">
      <selection activeCell="N28" sqref="N28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18</v>
      </c>
      <c r="G4" s="89">
        <v>195</v>
      </c>
      <c r="I4">
        <f>IF(F4="Pay",G4*-1,G4)</f>
        <v>-195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6</v>
      </c>
      <c r="G5" s="92">
        <v>40</v>
      </c>
      <c r="I5">
        <f t="shared" ref="I5:I15" si="0">IF(F5="Pay",G5*-1,G5)</f>
        <v>40</v>
      </c>
      <c r="K5" s="16" t="s">
        <v>40</v>
      </c>
      <c r="L5" s="17">
        <f>SUMIFS($I$4:$I$15,$C$4:$C$15,K5)</f>
        <v>0</v>
      </c>
      <c r="M5" s="17">
        <f>$L$9/4</f>
        <v>-237</v>
      </c>
    </row>
    <row r="6" spans="3:13">
      <c r="C6" s="90" t="s">
        <v>17</v>
      </c>
      <c r="D6" s="91" t="s">
        <v>19</v>
      </c>
      <c r="E6" s="91" t="s">
        <v>20</v>
      </c>
      <c r="F6" s="91" t="s">
        <v>18</v>
      </c>
      <c r="G6" s="92">
        <v>1</v>
      </c>
      <c r="I6">
        <f t="shared" si="0"/>
        <v>-1</v>
      </c>
      <c r="K6" s="19" t="s">
        <v>17</v>
      </c>
      <c r="L6" s="8">
        <f t="shared" ref="L6:L8" si="1">SUMIFS($I$4:$I$15,$C$4:$C$15,K6)</f>
        <v>-170</v>
      </c>
      <c r="M6" s="8">
        <f t="shared" ref="M6:M8" si="2">$L$9/4</f>
        <v>-237</v>
      </c>
    </row>
    <row r="7" spans="3:13">
      <c r="C7" s="90" t="s">
        <v>17</v>
      </c>
      <c r="D7" s="91" t="s">
        <v>79</v>
      </c>
      <c r="E7" s="91" t="s">
        <v>80</v>
      </c>
      <c r="F7" s="91" t="s">
        <v>18</v>
      </c>
      <c r="G7" s="92">
        <v>14</v>
      </c>
      <c r="I7">
        <f t="shared" si="0"/>
        <v>-14</v>
      </c>
      <c r="K7" s="75" t="s">
        <v>27</v>
      </c>
      <c r="L7" s="76">
        <f t="shared" si="1"/>
        <v>-778</v>
      </c>
      <c r="M7" s="76">
        <f t="shared" si="2"/>
        <v>-237</v>
      </c>
    </row>
    <row r="8" spans="3:13" ht="17" thickBot="1">
      <c r="C8" s="93" t="s">
        <v>17</v>
      </c>
      <c r="D8" s="94" t="s">
        <v>25</v>
      </c>
      <c r="E8" s="94" t="s">
        <v>26</v>
      </c>
      <c r="F8" s="94" t="s">
        <v>18</v>
      </c>
      <c r="G8" s="95">
        <v>0</v>
      </c>
      <c r="I8">
        <f t="shared" si="0"/>
        <v>0</v>
      </c>
      <c r="K8" s="85" t="s">
        <v>5</v>
      </c>
      <c r="L8" s="86">
        <f t="shared" si="1"/>
        <v>0</v>
      </c>
      <c r="M8" s="86">
        <f t="shared" si="2"/>
        <v>-237</v>
      </c>
    </row>
    <row r="9" spans="3:13" ht="20" thickBot="1">
      <c r="C9" s="99" t="s">
        <v>27</v>
      </c>
      <c r="D9" s="100" t="s">
        <v>61</v>
      </c>
      <c r="E9" s="100" t="s">
        <v>62</v>
      </c>
      <c r="F9" s="100" t="s">
        <v>6</v>
      </c>
      <c r="G9" s="101">
        <v>25</v>
      </c>
      <c r="I9">
        <f t="shared" si="0"/>
        <v>25</v>
      </c>
      <c r="K9" s="12" t="s">
        <v>76</v>
      </c>
      <c r="L9" s="13">
        <f>SUM(L5:L8)</f>
        <v>-948</v>
      </c>
      <c r="M9" s="14"/>
    </row>
    <row r="10" spans="3:13" ht="17" thickBot="1">
      <c r="C10" s="102" t="s">
        <v>27</v>
      </c>
      <c r="D10" s="103" t="s">
        <v>30</v>
      </c>
      <c r="E10" s="103" t="s">
        <v>31</v>
      </c>
      <c r="F10" s="103" t="s">
        <v>18</v>
      </c>
      <c r="G10" s="104">
        <v>111</v>
      </c>
      <c r="I10">
        <f t="shared" si="0"/>
        <v>-111</v>
      </c>
    </row>
    <row r="11" spans="3:13" ht="20" thickBot="1">
      <c r="C11" s="102" t="s">
        <v>27</v>
      </c>
      <c r="D11" s="103" t="s">
        <v>32</v>
      </c>
      <c r="E11" s="103" t="s">
        <v>33</v>
      </c>
      <c r="F11" s="103" t="s">
        <v>18</v>
      </c>
      <c r="G11" s="104">
        <v>76</v>
      </c>
      <c r="I11">
        <f t="shared" si="0"/>
        <v>-76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34</v>
      </c>
      <c r="E12" s="103" t="s">
        <v>35</v>
      </c>
      <c r="F12" s="103" t="s">
        <v>18</v>
      </c>
      <c r="G12" s="104">
        <v>15</v>
      </c>
      <c r="I12">
        <f t="shared" si="0"/>
        <v>-15</v>
      </c>
      <c r="K12" s="33" t="s">
        <v>89</v>
      </c>
      <c r="L12" s="35">
        <v>237</v>
      </c>
    </row>
    <row r="13" spans="3:13">
      <c r="C13" s="102" t="s">
        <v>27</v>
      </c>
      <c r="D13" s="103" t="s">
        <v>36</v>
      </c>
      <c r="E13" s="103" t="s">
        <v>37</v>
      </c>
      <c r="F13" s="103" t="s">
        <v>18</v>
      </c>
      <c r="G13" s="104">
        <v>73</v>
      </c>
      <c r="I13">
        <f t="shared" si="0"/>
        <v>-73</v>
      </c>
      <c r="K13" s="36" t="s">
        <v>90</v>
      </c>
      <c r="L13" s="37">
        <v>237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528</v>
      </c>
      <c r="I14">
        <f t="shared" si="0"/>
        <v>-528</v>
      </c>
      <c r="K14" s="38" t="s">
        <v>91</v>
      </c>
      <c r="L14" s="40">
        <v>67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18</v>
      </c>
      <c r="G15" s="98">
        <v>0</v>
      </c>
      <c r="I15">
        <f t="shared" si="0"/>
        <v>0</v>
      </c>
    </row>
    <row r="16" spans="3:13">
      <c r="K16" t="s">
        <v>86</v>
      </c>
    </row>
    <row r="17" spans="11:11">
      <c r="K17" t="s">
        <v>87</v>
      </c>
    </row>
    <row r="18" spans="11:11">
      <c r="K18" t="s">
        <v>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0537-B0F4-B041-8BBC-89CDD0DD62B5}">
  <dimension ref="C2:M25"/>
  <sheetViews>
    <sheetView showGridLines="0" workbookViewId="0">
      <selection activeCell="K11" sqref="K11:L14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6</v>
      </c>
      <c r="G4" s="89">
        <v>37</v>
      </c>
      <c r="I4">
        <f>IF(F4="Pay",G4*-1,G4)</f>
        <v>37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18</v>
      </c>
      <c r="G5" s="92">
        <v>15</v>
      </c>
      <c r="I5">
        <f t="shared" ref="I5:I15" si="0">IF(F5="Pay",G5*-1,G5)</f>
        <v>-15</v>
      </c>
      <c r="K5" s="16" t="s">
        <v>40</v>
      </c>
      <c r="L5" s="17">
        <f>SUMIFS($I$4:$I$15,$C$4:$C$15,K5)</f>
        <v>2</v>
      </c>
      <c r="M5" s="17">
        <f>$L$9/4</f>
        <v>-31.5</v>
      </c>
    </row>
    <row r="6" spans="3:13">
      <c r="C6" s="90" t="s">
        <v>17</v>
      </c>
      <c r="D6" s="91" t="s">
        <v>23</v>
      </c>
      <c r="E6" s="91" t="s">
        <v>24</v>
      </c>
      <c r="F6" s="91" t="s">
        <v>18</v>
      </c>
      <c r="G6" s="92">
        <v>3</v>
      </c>
      <c r="I6">
        <f t="shared" si="0"/>
        <v>-3</v>
      </c>
      <c r="K6" s="19" t="s">
        <v>17</v>
      </c>
      <c r="L6" s="8">
        <f t="shared" ref="L6:L8" si="1">SUMIFS($I$4:$I$15,$C$4:$C$15,K6)</f>
        <v>222</v>
      </c>
      <c r="M6" s="8">
        <f t="shared" ref="M6:M8" si="2">$L$9/4</f>
        <v>-31.5</v>
      </c>
    </row>
    <row r="7" spans="3:13">
      <c r="C7" s="90" t="s">
        <v>17</v>
      </c>
      <c r="D7" s="91" t="s">
        <v>25</v>
      </c>
      <c r="E7" s="91" t="s">
        <v>26</v>
      </c>
      <c r="F7" s="91" t="s">
        <v>6</v>
      </c>
      <c r="G7" s="92">
        <v>53</v>
      </c>
      <c r="I7">
        <f t="shared" si="0"/>
        <v>53</v>
      </c>
      <c r="K7" s="75" t="s">
        <v>27</v>
      </c>
      <c r="L7" s="76">
        <f t="shared" si="1"/>
        <v>-350</v>
      </c>
      <c r="M7" s="76">
        <f t="shared" si="2"/>
        <v>-31.5</v>
      </c>
    </row>
    <row r="8" spans="3:13" ht="17" thickBot="1">
      <c r="C8" s="93" t="s">
        <v>17</v>
      </c>
      <c r="D8" s="94" t="s">
        <v>67</v>
      </c>
      <c r="E8" s="94" t="s">
        <v>68</v>
      </c>
      <c r="F8" s="94" t="s">
        <v>6</v>
      </c>
      <c r="G8" s="95">
        <v>150</v>
      </c>
      <c r="I8">
        <f t="shared" si="0"/>
        <v>150</v>
      </c>
      <c r="K8" s="85" t="s">
        <v>5</v>
      </c>
      <c r="L8" s="86">
        <f t="shared" si="1"/>
        <v>0</v>
      </c>
      <c r="M8" s="86">
        <f t="shared" si="2"/>
        <v>-31.5</v>
      </c>
    </row>
    <row r="9" spans="3:13" ht="20" thickBot="1">
      <c r="C9" s="99" t="s">
        <v>27</v>
      </c>
      <c r="D9" s="100" t="s">
        <v>30</v>
      </c>
      <c r="E9" s="100" t="s">
        <v>31</v>
      </c>
      <c r="F9" s="100" t="s">
        <v>18</v>
      </c>
      <c r="G9" s="101">
        <v>326</v>
      </c>
      <c r="I9">
        <f t="shared" si="0"/>
        <v>-326</v>
      </c>
      <c r="K9" s="12" t="s">
        <v>76</v>
      </c>
      <c r="L9" s="13">
        <f>SUM(L5:L8)</f>
        <v>-126</v>
      </c>
      <c r="M9" s="14"/>
    </row>
    <row r="10" spans="3:13" ht="17" thickBot="1">
      <c r="C10" s="102" t="s">
        <v>27</v>
      </c>
      <c r="D10" s="103" t="s">
        <v>32</v>
      </c>
      <c r="E10" s="103" t="s">
        <v>33</v>
      </c>
      <c r="F10" s="103" t="s">
        <v>6</v>
      </c>
      <c r="G10" s="104">
        <v>13</v>
      </c>
      <c r="I10">
        <f t="shared" si="0"/>
        <v>13</v>
      </c>
    </row>
    <row r="11" spans="3:13" ht="20" thickBot="1">
      <c r="C11" s="102" t="s">
        <v>27</v>
      </c>
      <c r="D11" s="103" t="s">
        <v>34</v>
      </c>
      <c r="E11" s="103" t="s">
        <v>35</v>
      </c>
      <c r="F11" s="103" t="s">
        <v>6</v>
      </c>
      <c r="G11" s="104">
        <v>10</v>
      </c>
      <c r="I11">
        <f t="shared" si="0"/>
        <v>10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36</v>
      </c>
      <c r="E12" s="103" t="s">
        <v>37</v>
      </c>
      <c r="F12" s="103" t="s">
        <v>6</v>
      </c>
      <c r="G12" s="104">
        <v>201</v>
      </c>
      <c r="I12">
        <f t="shared" si="0"/>
        <v>201</v>
      </c>
      <c r="K12" s="33" t="s">
        <v>89</v>
      </c>
      <c r="L12" s="35">
        <v>33.5</v>
      </c>
    </row>
    <row r="13" spans="3:13">
      <c r="C13" s="102" t="s">
        <v>27</v>
      </c>
      <c r="D13" s="103" t="s">
        <v>71</v>
      </c>
      <c r="E13" s="103" t="s">
        <v>39</v>
      </c>
      <c r="F13" s="103" t="s">
        <v>6</v>
      </c>
      <c r="G13" s="104">
        <v>700</v>
      </c>
      <c r="I13">
        <f t="shared" si="0"/>
        <v>700</v>
      </c>
      <c r="K13" s="36" t="s">
        <v>90</v>
      </c>
      <c r="L13" s="37">
        <v>31.5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948</v>
      </c>
      <c r="I14">
        <f t="shared" si="0"/>
        <v>-948</v>
      </c>
      <c r="K14" s="38" t="s">
        <v>91</v>
      </c>
      <c r="L14" s="40">
        <v>253.5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6</v>
      </c>
      <c r="G15" s="98">
        <v>2</v>
      </c>
      <c r="I15">
        <f t="shared" si="0"/>
        <v>2</v>
      </c>
    </row>
    <row r="24" spans="13:13">
      <c r="M24">
        <f>L6-L14</f>
        <v>-31.5</v>
      </c>
    </row>
    <row r="25" spans="13:13">
      <c r="M25">
        <f>L7+SUM(L12:L14)</f>
        <v>-31.5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0160-7341-8448-B42A-45EB86B7BC5D}">
  <dimension ref="B3:L17"/>
  <sheetViews>
    <sheetView showGridLines="0" workbookViewId="0">
      <selection activeCell="P23" sqref="P23"/>
    </sheetView>
  </sheetViews>
  <sheetFormatPr baseColWidth="10" defaultRowHeight="16"/>
  <cols>
    <col min="4" max="4" width="13" bestFit="1" customWidth="1"/>
    <col min="6" max="6" width="9.1640625" bestFit="1" customWidth="1"/>
    <col min="7" max="7" width="3.83203125" hidden="1" customWidth="1"/>
    <col min="8" max="8" width="0" hidden="1" customWidth="1"/>
    <col min="9" max="9" width="5.5" customWidth="1"/>
    <col min="10" max="10" width="12" bestFit="1" customWidth="1"/>
  </cols>
  <sheetData>
    <row r="3" spans="2:12" ht="17" thickBot="1"/>
    <row r="4" spans="2:12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H4" t="s">
        <v>83</v>
      </c>
      <c r="J4" s="53"/>
      <c r="K4" s="54" t="s">
        <v>84</v>
      </c>
      <c r="L4" s="54" t="s">
        <v>85</v>
      </c>
    </row>
    <row r="5" spans="2:12">
      <c r="B5" s="87" t="s">
        <v>17</v>
      </c>
      <c r="C5" s="88" t="s">
        <v>55</v>
      </c>
      <c r="D5" s="88" t="s">
        <v>56</v>
      </c>
      <c r="E5" s="88" t="s">
        <v>6</v>
      </c>
      <c r="F5" s="89">
        <v>261</v>
      </c>
      <c r="H5">
        <f>IF(E5="Pay",F5*-1,F5)</f>
        <v>261</v>
      </c>
      <c r="J5" s="108" t="s">
        <v>40</v>
      </c>
      <c r="K5" s="108">
        <f>SUMIFS($H$5:$H$17,$B$5:$B$17,J5)</f>
        <v>97</v>
      </c>
      <c r="L5" s="108">
        <f>$K$9/4</f>
        <v>386.25</v>
      </c>
    </row>
    <row r="6" spans="2:12">
      <c r="B6" s="90" t="s">
        <v>17</v>
      </c>
      <c r="C6" s="91" t="s">
        <v>21</v>
      </c>
      <c r="D6" s="91" t="s">
        <v>22</v>
      </c>
      <c r="E6" s="91" t="s">
        <v>18</v>
      </c>
      <c r="F6" s="92">
        <v>9</v>
      </c>
      <c r="H6">
        <f t="shared" ref="H6:H17" si="0">IF(E6="Pay",F6*-1,F6)</f>
        <v>-9</v>
      </c>
      <c r="J6" s="108" t="s">
        <v>17</v>
      </c>
      <c r="K6" s="108">
        <f t="shared" ref="K6:K8" si="1">SUMIFS($H$5:$H$17,$B$5:$B$17,J6)</f>
        <v>249</v>
      </c>
      <c r="L6" s="108">
        <f t="shared" ref="L6:L8" si="2">$K$9/4</f>
        <v>386.25</v>
      </c>
    </row>
    <row r="7" spans="2:12">
      <c r="B7" s="90" t="s">
        <v>17</v>
      </c>
      <c r="C7" s="91" t="s">
        <v>23</v>
      </c>
      <c r="D7" s="91" t="s">
        <v>24</v>
      </c>
      <c r="E7" s="91" t="s">
        <v>18</v>
      </c>
      <c r="F7" s="92">
        <v>133</v>
      </c>
      <c r="H7">
        <f t="shared" si="0"/>
        <v>-133</v>
      </c>
      <c r="J7" s="108" t="s">
        <v>27</v>
      </c>
      <c r="K7" s="108">
        <f t="shared" si="1"/>
        <v>1199</v>
      </c>
      <c r="L7" s="108">
        <f t="shared" si="2"/>
        <v>386.25</v>
      </c>
    </row>
    <row r="8" spans="2:12">
      <c r="B8" s="90" t="s">
        <v>17</v>
      </c>
      <c r="C8" s="91" t="s">
        <v>57</v>
      </c>
      <c r="D8" s="91" t="s">
        <v>58</v>
      </c>
      <c r="E8" s="91" t="s">
        <v>6</v>
      </c>
      <c r="F8" s="92">
        <v>20</v>
      </c>
      <c r="H8">
        <f t="shared" si="0"/>
        <v>20</v>
      </c>
      <c r="J8" s="108" t="s">
        <v>5</v>
      </c>
      <c r="K8" s="108">
        <f t="shared" si="1"/>
        <v>0</v>
      </c>
      <c r="L8" s="108">
        <f t="shared" si="2"/>
        <v>386.25</v>
      </c>
    </row>
    <row r="9" spans="2:12" ht="20" thickBot="1">
      <c r="B9" s="90" t="s">
        <v>17</v>
      </c>
      <c r="C9" s="91" t="s">
        <v>25</v>
      </c>
      <c r="D9" s="91" t="s">
        <v>26</v>
      </c>
      <c r="E9" s="91" t="s">
        <v>6</v>
      </c>
      <c r="F9" s="92">
        <v>22</v>
      </c>
      <c r="H9">
        <f t="shared" si="0"/>
        <v>22</v>
      </c>
      <c r="J9" s="82" t="s">
        <v>76</v>
      </c>
      <c r="K9" s="83">
        <f>SUM(K5:K8)</f>
        <v>1545</v>
      </c>
      <c r="L9" s="84"/>
    </row>
    <row r="10" spans="2:12">
      <c r="B10" s="90" t="s">
        <v>17</v>
      </c>
      <c r="C10" s="91" t="s">
        <v>67</v>
      </c>
      <c r="D10" s="91" t="s">
        <v>68</v>
      </c>
      <c r="E10" s="91" t="s">
        <v>6</v>
      </c>
      <c r="F10" s="92">
        <v>50</v>
      </c>
      <c r="H10">
        <f t="shared" si="0"/>
        <v>50</v>
      </c>
    </row>
    <row r="11" spans="2:12" ht="17" thickBot="1">
      <c r="B11" s="93" t="s">
        <v>17</v>
      </c>
      <c r="C11" s="94" t="s">
        <v>59</v>
      </c>
      <c r="D11" s="94" t="s">
        <v>104</v>
      </c>
      <c r="E11" s="94" t="s">
        <v>6</v>
      </c>
      <c r="F11" s="95">
        <v>38</v>
      </c>
      <c r="H11">
        <f t="shared" si="0"/>
        <v>38</v>
      </c>
    </row>
    <row r="12" spans="2:12" ht="17" thickBot="1">
      <c r="B12" s="102" t="s">
        <v>27</v>
      </c>
      <c r="C12" s="103" t="s">
        <v>30</v>
      </c>
      <c r="D12" s="103" t="s">
        <v>31</v>
      </c>
      <c r="E12" s="103" t="s">
        <v>6</v>
      </c>
      <c r="F12" s="104">
        <v>456</v>
      </c>
      <c r="H12">
        <f t="shared" si="0"/>
        <v>456</v>
      </c>
    </row>
    <row r="13" spans="2:12" ht="20" thickBot="1">
      <c r="B13" s="102" t="s">
        <v>27</v>
      </c>
      <c r="C13" s="103" t="s">
        <v>34</v>
      </c>
      <c r="D13" s="103" t="s">
        <v>35</v>
      </c>
      <c r="E13" s="103" t="s">
        <v>6</v>
      </c>
      <c r="F13" s="104">
        <v>54</v>
      </c>
      <c r="H13">
        <f t="shared" si="0"/>
        <v>54</v>
      </c>
      <c r="J13" s="53" t="s">
        <v>1</v>
      </c>
      <c r="K13" s="55" t="s">
        <v>4</v>
      </c>
    </row>
    <row r="14" spans="2:12">
      <c r="B14" s="102" t="s">
        <v>27</v>
      </c>
      <c r="C14" s="103" t="s">
        <v>9</v>
      </c>
      <c r="D14" s="103" t="s">
        <v>105</v>
      </c>
      <c r="E14" s="103" t="s">
        <v>6</v>
      </c>
      <c r="F14" s="104">
        <v>414</v>
      </c>
      <c r="H14">
        <f t="shared" si="0"/>
        <v>414</v>
      </c>
      <c r="J14" s="33" t="s">
        <v>106</v>
      </c>
      <c r="K14" s="35">
        <v>289.25</v>
      </c>
    </row>
    <row r="15" spans="2:12">
      <c r="B15" s="102" t="s">
        <v>27</v>
      </c>
      <c r="C15" s="103" t="s">
        <v>36</v>
      </c>
      <c r="D15" s="103" t="s">
        <v>37</v>
      </c>
      <c r="E15" s="103" t="s">
        <v>6</v>
      </c>
      <c r="F15" s="104">
        <v>255</v>
      </c>
      <c r="H15">
        <f t="shared" si="0"/>
        <v>255</v>
      </c>
      <c r="J15" s="36" t="s">
        <v>107</v>
      </c>
      <c r="K15" s="37">
        <v>386.25</v>
      </c>
    </row>
    <row r="16" spans="2:12" ht="17" thickBot="1">
      <c r="B16" s="105" t="s">
        <v>27</v>
      </c>
      <c r="C16" s="106" t="s">
        <v>81</v>
      </c>
      <c r="D16" s="106" t="s">
        <v>82</v>
      </c>
      <c r="E16" s="106" t="s">
        <v>6</v>
      </c>
      <c r="F16" s="107">
        <v>20</v>
      </c>
      <c r="H16">
        <f t="shared" si="0"/>
        <v>20</v>
      </c>
      <c r="J16" s="38" t="s">
        <v>108</v>
      </c>
      <c r="K16" s="40">
        <v>137.25</v>
      </c>
    </row>
    <row r="17" spans="2:8" ht="17" thickBot="1">
      <c r="B17" s="96" t="s">
        <v>40</v>
      </c>
      <c r="C17" s="97" t="s">
        <v>47</v>
      </c>
      <c r="D17" s="97" t="s">
        <v>48</v>
      </c>
      <c r="E17" s="97" t="s">
        <v>6</v>
      </c>
      <c r="F17" s="98">
        <v>97</v>
      </c>
      <c r="H17">
        <f t="shared" si="0"/>
        <v>97</v>
      </c>
    </row>
  </sheetData>
  <phoneticPr fontId="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C0FB-C7D8-1441-B480-875D84123266}">
  <dimension ref="B3:O23"/>
  <sheetViews>
    <sheetView showGridLines="0" workbookViewId="0">
      <selection activeCell="O20" sqref="O20"/>
    </sheetView>
  </sheetViews>
  <sheetFormatPr baseColWidth="10" defaultRowHeight="16"/>
  <cols>
    <col min="4" max="4" width="13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6" t="s">
        <v>17</v>
      </c>
      <c r="C5" s="17" t="s">
        <v>55</v>
      </c>
      <c r="D5" s="17" t="s">
        <v>56</v>
      </c>
      <c r="E5" s="17" t="s">
        <v>18</v>
      </c>
      <c r="F5" s="18">
        <v>76</v>
      </c>
    </row>
    <row r="6" spans="2:6">
      <c r="B6" s="19" t="s">
        <v>17</v>
      </c>
      <c r="C6" s="8" t="s">
        <v>21</v>
      </c>
      <c r="D6" s="8" t="s">
        <v>22</v>
      </c>
      <c r="E6" s="8" t="s">
        <v>6</v>
      </c>
      <c r="F6" s="20">
        <v>40</v>
      </c>
    </row>
    <row r="7" spans="2:6">
      <c r="B7" s="19" t="s">
        <v>17</v>
      </c>
      <c r="C7" s="8" t="s">
        <v>23</v>
      </c>
      <c r="D7" s="8" t="s">
        <v>24</v>
      </c>
      <c r="E7" s="8" t="s">
        <v>6</v>
      </c>
      <c r="F7" s="20">
        <v>36</v>
      </c>
    </row>
    <row r="8" spans="2:6">
      <c r="B8" s="19" t="s">
        <v>17</v>
      </c>
      <c r="C8" s="8" t="s">
        <v>79</v>
      </c>
      <c r="D8" s="8" t="s">
        <v>80</v>
      </c>
      <c r="E8" s="8" t="s">
        <v>6</v>
      </c>
      <c r="F8" s="20">
        <v>60</v>
      </c>
    </row>
    <row r="9" spans="2:6">
      <c r="B9" s="19" t="s">
        <v>17</v>
      </c>
      <c r="C9" s="8" t="s">
        <v>25</v>
      </c>
      <c r="D9" s="8" t="s">
        <v>26</v>
      </c>
      <c r="E9" s="8" t="s">
        <v>6</v>
      </c>
      <c r="F9" s="20">
        <v>4</v>
      </c>
    </row>
    <row r="10" spans="2:6">
      <c r="B10" s="19" t="s">
        <v>17</v>
      </c>
      <c r="C10" s="8" t="s">
        <v>67</v>
      </c>
      <c r="D10" s="8" t="s">
        <v>68</v>
      </c>
      <c r="E10" s="8" t="s">
        <v>18</v>
      </c>
      <c r="F10" s="20">
        <v>129</v>
      </c>
    </row>
    <row r="11" spans="2:6">
      <c r="B11" s="19" t="s">
        <v>17</v>
      </c>
      <c r="C11" s="8" t="s">
        <v>109</v>
      </c>
      <c r="D11" s="8" t="s">
        <v>110</v>
      </c>
      <c r="E11" s="8" t="s">
        <v>6</v>
      </c>
      <c r="F11" s="20">
        <v>19</v>
      </c>
    </row>
    <row r="12" spans="2:6" ht="17" thickBot="1">
      <c r="B12" s="24" t="s">
        <v>17</v>
      </c>
      <c r="C12" s="25" t="s">
        <v>59</v>
      </c>
      <c r="D12" s="25" t="s">
        <v>104</v>
      </c>
      <c r="E12" s="25" t="s">
        <v>6</v>
      </c>
      <c r="F12" s="26">
        <v>66</v>
      </c>
    </row>
    <row r="13" spans="2:6">
      <c r="B13" s="30" t="s">
        <v>27</v>
      </c>
      <c r="C13" s="9" t="s">
        <v>61</v>
      </c>
      <c r="D13" s="9" t="s">
        <v>62</v>
      </c>
      <c r="E13" s="9" t="s">
        <v>18</v>
      </c>
      <c r="F13" s="31">
        <v>15</v>
      </c>
    </row>
    <row r="14" spans="2:6">
      <c r="B14" s="30" t="s">
        <v>27</v>
      </c>
      <c r="C14" s="9" t="s">
        <v>30</v>
      </c>
      <c r="D14" s="9" t="s">
        <v>31</v>
      </c>
      <c r="E14" s="9" t="s">
        <v>6</v>
      </c>
      <c r="F14" s="31">
        <v>402</v>
      </c>
    </row>
    <row r="15" spans="2:6">
      <c r="B15" s="30" t="s">
        <v>27</v>
      </c>
      <c r="C15" s="9" t="s">
        <v>32</v>
      </c>
      <c r="D15" s="9" t="s">
        <v>33</v>
      </c>
      <c r="E15" s="9" t="s">
        <v>6</v>
      </c>
      <c r="F15" s="31">
        <v>98</v>
      </c>
    </row>
    <row r="16" spans="2:6">
      <c r="B16" s="30" t="s">
        <v>27</v>
      </c>
      <c r="C16" s="9" t="s">
        <v>34</v>
      </c>
      <c r="D16" s="9" t="s">
        <v>35</v>
      </c>
      <c r="E16" s="9" t="s">
        <v>18</v>
      </c>
      <c r="F16" s="31">
        <v>30</v>
      </c>
    </row>
    <row r="17" spans="2:15">
      <c r="B17" s="30" t="s">
        <v>27</v>
      </c>
      <c r="C17" s="9" t="s">
        <v>9</v>
      </c>
      <c r="D17" s="9" t="s">
        <v>105</v>
      </c>
      <c r="E17" s="9" t="s">
        <v>6</v>
      </c>
      <c r="F17" s="31">
        <v>12</v>
      </c>
    </row>
    <row r="18" spans="2:15">
      <c r="B18" s="30" t="s">
        <v>27</v>
      </c>
      <c r="C18" s="9" t="s">
        <v>36</v>
      </c>
      <c r="D18" s="9" t="s">
        <v>37</v>
      </c>
      <c r="E18" s="9" t="s">
        <v>6</v>
      </c>
      <c r="F18" s="31">
        <v>162</v>
      </c>
    </row>
    <row r="19" spans="2:15">
      <c r="B19" s="30" t="s">
        <v>27</v>
      </c>
      <c r="C19" s="9" t="s">
        <v>63</v>
      </c>
      <c r="D19" s="9" t="s">
        <v>64</v>
      </c>
      <c r="E19" s="9" t="s">
        <v>6</v>
      </c>
      <c r="F19" s="31">
        <v>5</v>
      </c>
      <c r="O19">
        <f>270-125</f>
        <v>145</v>
      </c>
    </row>
    <row r="20" spans="2:15" ht="17" thickBot="1">
      <c r="B20" s="21" t="s">
        <v>27</v>
      </c>
      <c r="C20" s="22" t="s">
        <v>81</v>
      </c>
      <c r="D20" s="22" t="s">
        <v>82</v>
      </c>
      <c r="E20" s="22" t="s">
        <v>6</v>
      </c>
      <c r="F20" s="23">
        <v>255</v>
      </c>
    </row>
    <row r="21" spans="2:15" ht="17" thickBot="1">
      <c r="B21" s="38" t="s">
        <v>5</v>
      </c>
      <c r="C21" s="39" t="s">
        <v>111</v>
      </c>
      <c r="D21" s="39" t="s">
        <v>112</v>
      </c>
      <c r="E21" s="39" t="s">
        <v>6</v>
      </c>
      <c r="F21" s="40">
        <v>40</v>
      </c>
    </row>
    <row r="22" spans="2:15">
      <c r="B22" s="41" t="s">
        <v>40</v>
      </c>
      <c r="C22" s="42" t="s">
        <v>113</v>
      </c>
      <c r="D22" s="42" t="s">
        <v>114</v>
      </c>
      <c r="E22" s="42" t="s">
        <v>18</v>
      </c>
      <c r="F22" s="43">
        <v>0</v>
      </c>
    </row>
    <row r="23" spans="2:15" ht="17" thickBot="1">
      <c r="B23" s="46" t="s">
        <v>40</v>
      </c>
      <c r="C23" s="47" t="s">
        <v>47</v>
      </c>
      <c r="D23" s="47" t="s">
        <v>48</v>
      </c>
      <c r="E23" s="47" t="s">
        <v>6</v>
      </c>
      <c r="F23" s="48">
        <v>106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19B4-4FDB-CD48-A0E5-7ECE97086BE1}">
  <dimension ref="B4:B16"/>
  <sheetViews>
    <sheetView workbookViewId="0">
      <selection activeCell="B4" sqref="B4:B17"/>
    </sheetView>
  </sheetViews>
  <sheetFormatPr baseColWidth="10" defaultRowHeight="16"/>
  <sheetData>
    <row r="4" spans="2:2">
      <c r="B4" t="s">
        <v>78</v>
      </c>
    </row>
    <row r="5" spans="2:2">
      <c r="B5" t="s">
        <v>92</v>
      </c>
    </row>
    <row r="6" spans="2:2">
      <c r="B6" t="s">
        <v>93</v>
      </c>
    </row>
    <row r="7" spans="2:2">
      <c r="B7" t="s">
        <v>94</v>
      </c>
    </row>
    <row r="8" spans="2:2">
      <c r="B8" t="s">
        <v>95</v>
      </c>
    </row>
    <row r="9" spans="2:2">
      <c r="B9" t="s">
        <v>96</v>
      </c>
    </row>
    <row r="10" spans="2:2">
      <c r="B10" t="s">
        <v>97</v>
      </c>
    </row>
    <row r="11" spans="2:2">
      <c r="B11" t="s">
        <v>98</v>
      </c>
    </row>
    <row r="12" spans="2:2">
      <c r="B12" t="s">
        <v>99</v>
      </c>
    </row>
    <row r="13" spans="2:2">
      <c r="B13" t="s">
        <v>100</v>
      </c>
    </row>
    <row r="14" spans="2:2">
      <c r="B14" t="s">
        <v>101</v>
      </c>
    </row>
    <row r="15" spans="2:2">
      <c r="B15" t="s">
        <v>102</v>
      </c>
    </row>
    <row r="16" spans="2:2">
      <c r="B16" t="s">
        <v>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D427-CF18-C64C-9A65-019ED7DC1AF1}">
  <dimension ref="B3:F29"/>
  <sheetViews>
    <sheetView showGridLines="0" workbookViewId="0">
      <selection activeCell="D5" sqref="D5"/>
    </sheetView>
  </sheetViews>
  <sheetFormatPr baseColWidth="10" defaultRowHeight="16"/>
  <cols>
    <col min="4" max="4" width="13" bestFit="1" customWidth="1"/>
    <col min="5" max="5" width="12.6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7</v>
      </c>
      <c r="E5" s="128" t="s">
        <v>8</v>
      </c>
      <c r="F5" s="129">
        <v>54</v>
      </c>
    </row>
    <row r="6" spans="2:6" ht="17" thickBot="1">
      <c r="B6" s="130" t="s">
        <v>5</v>
      </c>
      <c r="C6" s="131" t="s">
        <v>18</v>
      </c>
      <c r="D6" s="131" t="s">
        <v>41</v>
      </c>
      <c r="E6" s="131" t="s">
        <v>115</v>
      </c>
      <c r="F6" s="132">
        <v>27</v>
      </c>
    </row>
    <row r="7" spans="2:6">
      <c r="B7" s="109" t="s">
        <v>17</v>
      </c>
      <c r="C7" s="110" t="s">
        <v>18</v>
      </c>
      <c r="D7" s="110" t="s">
        <v>67</v>
      </c>
      <c r="E7" s="110" t="s">
        <v>68</v>
      </c>
      <c r="F7" s="111">
        <v>353</v>
      </c>
    </row>
    <row r="8" spans="2:6">
      <c r="B8" s="90" t="s">
        <v>17</v>
      </c>
      <c r="C8" s="91" t="s">
        <v>18</v>
      </c>
      <c r="D8" s="91" t="s">
        <v>109</v>
      </c>
      <c r="E8" s="91" t="s">
        <v>110</v>
      </c>
      <c r="F8" s="92">
        <v>50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224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120</v>
      </c>
    </row>
    <row r="11" spans="2:6">
      <c r="B11" s="90" t="s">
        <v>17</v>
      </c>
      <c r="C11" s="91" t="s">
        <v>6</v>
      </c>
      <c r="D11" s="91" t="s">
        <v>116</v>
      </c>
      <c r="E11" s="91" t="s">
        <v>117</v>
      </c>
      <c r="F11" s="92">
        <v>22</v>
      </c>
    </row>
    <row r="12" spans="2:6">
      <c r="B12" s="90" t="s">
        <v>17</v>
      </c>
      <c r="C12" s="91" t="s">
        <v>6</v>
      </c>
      <c r="D12" s="91" t="s">
        <v>38</v>
      </c>
      <c r="E12" s="91" t="s">
        <v>118</v>
      </c>
      <c r="F12" s="92">
        <v>25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31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 ht="17" thickBot="1">
      <c r="B15" s="112" t="s">
        <v>17</v>
      </c>
      <c r="C15" s="113" t="s">
        <v>6</v>
      </c>
      <c r="D15" s="113" t="s">
        <v>59</v>
      </c>
      <c r="E15" s="113" t="s">
        <v>104</v>
      </c>
      <c r="F15" s="114">
        <v>33</v>
      </c>
    </row>
    <row r="16" spans="2:6">
      <c r="B16" s="99" t="s">
        <v>27</v>
      </c>
      <c r="C16" s="100" t="s">
        <v>18</v>
      </c>
      <c r="D16" s="100" t="s">
        <v>61</v>
      </c>
      <c r="E16" s="100" t="s">
        <v>62</v>
      </c>
      <c r="F16" s="101">
        <v>64</v>
      </c>
    </row>
    <row r="17" spans="2:6">
      <c r="B17" s="102" t="s">
        <v>27</v>
      </c>
      <c r="C17" s="103" t="s">
        <v>18</v>
      </c>
      <c r="D17" s="103" t="s">
        <v>28</v>
      </c>
      <c r="E17" s="103" t="s">
        <v>29</v>
      </c>
      <c r="F17" s="104">
        <v>0</v>
      </c>
    </row>
    <row r="18" spans="2:6">
      <c r="B18" s="102" t="s">
        <v>27</v>
      </c>
      <c r="C18" s="103" t="s">
        <v>18</v>
      </c>
      <c r="D18" s="103" t="s">
        <v>32</v>
      </c>
      <c r="E18" s="103" t="s">
        <v>33</v>
      </c>
      <c r="F18" s="104">
        <v>30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421</v>
      </c>
    </row>
    <row r="20" spans="2:6">
      <c r="B20" s="102" t="s">
        <v>27</v>
      </c>
      <c r="C20" s="103" t="s">
        <v>18</v>
      </c>
      <c r="D20" s="103" t="s">
        <v>13</v>
      </c>
      <c r="E20" s="103" t="s">
        <v>119</v>
      </c>
      <c r="F20" s="104">
        <v>132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664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30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179</v>
      </c>
    </row>
    <row r="24" spans="2:6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4</v>
      </c>
    </row>
    <row r="25" spans="2:6" ht="17" thickBot="1">
      <c r="B25" s="115" t="s">
        <v>27</v>
      </c>
      <c r="C25" s="116" t="s">
        <v>6</v>
      </c>
      <c r="D25" s="116" t="s">
        <v>81</v>
      </c>
      <c r="E25" s="116" t="s">
        <v>82</v>
      </c>
      <c r="F25" s="117">
        <v>146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66</v>
      </c>
    </row>
    <row r="27" spans="2:6">
      <c r="B27" s="122" t="s">
        <v>40</v>
      </c>
      <c r="C27" s="118" t="s">
        <v>18</v>
      </c>
      <c r="D27" s="118" t="s">
        <v>49</v>
      </c>
      <c r="E27" s="118" t="s">
        <v>50</v>
      </c>
      <c r="F27" s="123">
        <v>51</v>
      </c>
    </row>
    <row r="28" spans="2:6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56</v>
      </c>
    </row>
    <row r="29" spans="2:6" ht="17" thickBot="1">
      <c r="B29" s="124" t="s">
        <v>40</v>
      </c>
      <c r="C29" s="125" t="s">
        <v>6</v>
      </c>
      <c r="D29" s="125" t="s">
        <v>47</v>
      </c>
      <c r="E29" s="125" t="s">
        <v>48</v>
      </c>
      <c r="F29" s="126">
        <v>137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3D04-A0CE-7441-B77B-8827FB176F44}">
  <dimension ref="B3:F33"/>
  <sheetViews>
    <sheetView showGridLines="0" workbookViewId="0">
      <selection activeCell="Q33" sqref="Q33"/>
    </sheetView>
  </sheetViews>
  <sheetFormatPr baseColWidth="10" defaultRowHeight="16"/>
  <cols>
    <col min="4" max="4" width="13.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40</v>
      </c>
    </row>
    <row r="6" spans="2:6" ht="17" thickBot="1">
      <c r="B6" s="130" t="s">
        <v>5</v>
      </c>
      <c r="C6" s="131" t="s">
        <v>15</v>
      </c>
      <c r="D6" s="131" t="s">
        <v>124</v>
      </c>
      <c r="E6" s="131" t="s">
        <v>18</v>
      </c>
      <c r="F6" s="132">
        <v>47</v>
      </c>
    </row>
    <row r="7" spans="2:6">
      <c r="B7" s="109" t="s">
        <v>17</v>
      </c>
      <c r="C7" s="110" t="s">
        <v>55</v>
      </c>
      <c r="D7" s="110" t="s">
        <v>56</v>
      </c>
      <c r="E7" s="110" t="s">
        <v>18</v>
      </c>
      <c r="F7" s="111">
        <v>0</v>
      </c>
    </row>
    <row r="8" spans="2:6">
      <c r="B8" s="90" t="s">
        <v>17</v>
      </c>
      <c r="C8" s="91" t="s">
        <v>21</v>
      </c>
      <c r="D8" s="91" t="s">
        <v>22</v>
      </c>
      <c r="E8" s="91" t="s">
        <v>18</v>
      </c>
      <c r="F8" s="92">
        <v>35</v>
      </c>
    </row>
    <row r="9" spans="2:6">
      <c r="B9" s="90" t="s">
        <v>17</v>
      </c>
      <c r="C9" s="91" t="s">
        <v>23</v>
      </c>
      <c r="D9" s="91" t="s">
        <v>24</v>
      </c>
      <c r="E9" s="91" t="s">
        <v>6</v>
      </c>
      <c r="F9" s="92">
        <v>158</v>
      </c>
    </row>
    <row r="10" spans="2:6">
      <c r="B10" s="90" t="s">
        <v>17</v>
      </c>
      <c r="C10" s="91" t="s">
        <v>116</v>
      </c>
      <c r="D10" s="91" t="s">
        <v>117</v>
      </c>
      <c r="E10" s="91" t="s">
        <v>6</v>
      </c>
      <c r="F10" s="92">
        <v>200</v>
      </c>
    </row>
    <row r="11" spans="2:6">
      <c r="B11" s="90" t="s">
        <v>17</v>
      </c>
      <c r="C11" s="91" t="s">
        <v>19</v>
      </c>
      <c r="D11" s="91" t="s">
        <v>20</v>
      </c>
      <c r="E11" s="91" t="s">
        <v>18</v>
      </c>
      <c r="F11" s="92">
        <v>7</v>
      </c>
    </row>
    <row r="12" spans="2:6">
      <c r="B12" s="90" t="s">
        <v>17</v>
      </c>
      <c r="C12" s="91" t="s">
        <v>67</v>
      </c>
      <c r="D12" s="91" t="s">
        <v>68</v>
      </c>
      <c r="E12" s="91" t="s">
        <v>6</v>
      </c>
      <c r="F12" s="92">
        <v>188</v>
      </c>
    </row>
    <row r="13" spans="2:6">
      <c r="B13" s="90" t="s">
        <v>17</v>
      </c>
      <c r="C13" s="91" t="s">
        <v>109</v>
      </c>
      <c r="D13" s="91" t="s">
        <v>110</v>
      </c>
      <c r="E13" s="91" t="s">
        <v>18</v>
      </c>
      <c r="F13" s="92">
        <v>51</v>
      </c>
    </row>
    <row r="14" spans="2:6" ht="17" thickBot="1">
      <c r="B14" s="90" t="s">
        <v>17</v>
      </c>
      <c r="C14" s="91" t="s">
        <v>59</v>
      </c>
      <c r="D14" s="91" t="s">
        <v>104</v>
      </c>
      <c r="E14" s="91" t="s">
        <v>6</v>
      </c>
      <c r="F14" s="92">
        <v>7</v>
      </c>
    </row>
    <row r="15" spans="2:6">
      <c r="B15" s="99" t="s">
        <v>27</v>
      </c>
      <c r="C15" s="100" t="s">
        <v>61</v>
      </c>
      <c r="D15" s="100" t="s">
        <v>62</v>
      </c>
      <c r="E15" s="100" t="s">
        <v>18</v>
      </c>
      <c r="F15" s="101">
        <v>389</v>
      </c>
    </row>
    <row r="16" spans="2:6">
      <c r="B16" s="102" t="s">
        <v>27</v>
      </c>
      <c r="C16" s="103" t="s">
        <v>30</v>
      </c>
      <c r="D16" s="103" t="s">
        <v>31</v>
      </c>
      <c r="E16" s="103" t="s">
        <v>6</v>
      </c>
      <c r="F16" s="104">
        <v>1584.9</v>
      </c>
    </row>
    <row r="17" spans="2:6">
      <c r="B17" s="102" t="s">
        <v>27</v>
      </c>
      <c r="C17" s="103" t="s">
        <v>28</v>
      </c>
      <c r="D17" s="103" t="s">
        <v>29</v>
      </c>
      <c r="E17" s="103" t="s">
        <v>18</v>
      </c>
      <c r="F17" s="104">
        <v>104</v>
      </c>
    </row>
    <row r="18" spans="2:6">
      <c r="B18" s="102" t="s">
        <v>27</v>
      </c>
      <c r="C18" s="103" t="s">
        <v>69</v>
      </c>
      <c r="D18" s="103" t="s">
        <v>39</v>
      </c>
      <c r="E18" s="103" t="s">
        <v>6</v>
      </c>
      <c r="F18" s="104">
        <v>250</v>
      </c>
    </row>
    <row r="19" spans="2:6">
      <c r="B19" s="102" t="s">
        <v>27</v>
      </c>
      <c r="C19" s="103" t="s">
        <v>32</v>
      </c>
      <c r="D19" s="103" t="s">
        <v>33</v>
      </c>
      <c r="E19" s="103" t="s">
        <v>18</v>
      </c>
      <c r="F19" s="104">
        <v>93</v>
      </c>
    </row>
    <row r="20" spans="2:6">
      <c r="B20" s="102" t="s">
        <v>27</v>
      </c>
      <c r="C20" s="103" t="s">
        <v>34</v>
      </c>
      <c r="D20" s="103" t="s">
        <v>35</v>
      </c>
      <c r="E20" s="103" t="s">
        <v>6</v>
      </c>
      <c r="F20" s="104">
        <v>16</v>
      </c>
    </row>
    <row r="21" spans="2:6">
      <c r="B21" s="102" t="s">
        <v>27</v>
      </c>
      <c r="C21" s="103" t="s">
        <v>9</v>
      </c>
      <c r="D21" s="103" t="s">
        <v>105</v>
      </c>
      <c r="E21" s="103" t="s">
        <v>6</v>
      </c>
      <c r="F21" s="104">
        <v>68</v>
      </c>
    </row>
    <row r="22" spans="2:6">
      <c r="B22" s="102" t="s">
        <v>27</v>
      </c>
      <c r="C22" s="103" t="s">
        <v>53</v>
      </c>
      <c r="D22" s="103" t="s">
        <v>123</v>
      </c>
      <c r="E22" s="103" t="s">
        <v>6</v>
      </c>
      <c r="F22" s="104">
        <v>414</v>
      </c>
    </row>
    <row r="23" spans="2:6">
      <c r="B23" s="102" t="s">
        <v>27</v>
      </c>
      <c r="C23" s="103" t="s">
        <v>36</v>
      </c>
      <c r="D23" s="103" t="s">
        <v>37</v>
      </c>
      <c r="E23" s="103" t="s">
        <v>6</v>
      </c>
      <c r="F23" s="104">
        <v>51</v>
      </c>
    </row>
    <row r="24" spans="2:6">
      <c r="B24" s="102" t="s">
        <v>27</v>
      </c>
      <c r="C24" s="103" t="s">
        <v>63</v>
      </c>
      <c r="D24" s="103" t="s">
        <v>64</v>
      </c>
      <c r="E24" s="103" t="s">
        <v>18</v>
      </c>
      <c r="F24" s="104">
        <v>21</v>
      </c>
    </row>
    <row r="25" spans="2:6">
      <c r="B25" s="102" t="s">
        <v>27</v>
      </c>
      <c r="C25" s="103" t="s">
        <v>81</v>
      </c>
      <c r="D25" s="103" t="s">
        <v>82</v>
      </c>
      <c r="E25" s="103" t="s">
        <v>6</v>
      </c>
      <c r="F25" s="104">
        <v>248</v>
      </c>
    </row>
    <row r="26" spans="2:6" ht="17" thickBot="1">
      <c r="B26" s="105" t="s">
        <v>27</v>
      </c>
      <c r="C26" s="106" t="s">
        <v>13</v>
      </c>
      <c r="D26" s="106" t="s">
        <v>119</v>
      </c>
      <c r="E26" s="106" t="s">
        <v>6</v>
      </c>
      <c r="F26" s="107">
        <v>110</v>
      </c>
    </row>
    <row r="27" spans="2:6">
      <c r="B27" s="133" t="s">
        <v>40</v>
      </c>
      <c r="C27" s="134" t="s">
        <v>45</v>
      </c>
      <c r="D27" s="134" t="s">
        <v>46</v>
      </c>
      <c r="E27" s="134" t="s">
        <v>6</v>
      </c>
      <c r="F27" s="135">
        <v>395</v>
      </c>
    </row>
    <row r="28" spans="2:6">
      <c r="B28" s="122" t="s">
        <v>40</v>
      </c>
      <c r="C28" s="118" t="s">
        <v>113</v>
      </c>
      <c r="D28" s="118" t="s">
        <v>114</v>
      </c>
      <c r="E28" s="118" t="s">
        <v>6</v>
      </c>
      <c r="F28" s="123">
        <v>46</v>
      </c>
    </row>
    <row r="29" spans="2:6">
      <c r="B29" s="122" t="s">
        <v>40</v>
      </c>
      <c r="C29" s="118" t="s">
        <v>120</v>
      </c>
      <c r="D29" s="118" t="s">
        <v>121</v>
      </c>
      <c r="E29" s="118" t="s">
        <v>6</v>
      </c>
      <c r="F29" s="123">
        <v>16</v>
      </c>
    </row>
    <row r="30" spans="2:6">
      <c r="B30" s="122" t="s">
        <v>40</v>
      </c>
      <c r="C30" s="118" t="s">
        <v>47</v>
      </c>
      <c r="D30" s="118" t="s">
        <v>48</v>
      </c>
      <c r="E30" s="118" t="s">
        <v>6</v>
      </c>
      <c r="F30" s="123">
        <v>22</v>
      </c>
    </row>
    <row r="31" spans="2:6">
      <c r="B31" s="122" t="s">
        <v>40</v>
      </c>
      <c r="C31" s="118" t="s">
        <v>11</v>
      </c>
      <c r="D31" s="118" t="s">
        <v>122</v>
      </c>
      <c r="E31" s="118" t="s">
        <v>6</v>
      </c>
      <c r="F31" s="123">
        <v>11</v>
      </c>
    </row>
    <row r="32" spans="2:6">
      <c r="B32" s="122" t="s">
        <v>40</v>
      </c>
      <c r="C32" s="118" t="s">
        <v>65</v>
      </c>
      <c r="D32" s="118" t="s">
        <v>66</v>
      </c>
      <c r="E32" s="118" t="s">
        <v>18</v>
      </c>
      <c r="F32" s="123">
        <v>25</v>
      </c>
    </row>
    <row r="33" spans="2:6" ht="17" thickBot="1">
      <c r="B33" s="124" t="s">
        <v>40</v>
      </c>
      <c r="C33" s="125" t="s">
        <v>49</v>
      </c>
      <c r="D33" s="125" t="s">
        <v>50</v>
      </c>
      <c r="E33" s="125" t="s">
        <v>18</v>
      </c>
      <c r="F33" s="126">
        <v>312</v>
      </c>
    </row>
  </sheetData>
  <sortState xmlns:xlrd2="http://schemas.microsoft.com/office/spreadsheetml/2017/richdata2" ref="B5:F33">
    <sortCondition ref="B10:B33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8B58-0112-A84B-9E30-28A83BA9381D}">
  <dimension ref="B3:K36"/>
  <sheetViews>
    <sheetView showGridLines="0" workbookViewId="0">
      <selection activeCell="C5" sqref="C5"/>
    </sheetView>
  </sheetViews>
  <sheetFormatPr baseColWidth="10" defaultRowHeight="16"/>
  <cols>
    <col min="4" max="4" width="15.164062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7</v>
      </c>
      <c r="D5" s="128" t="s">
        <v>8</v>
      </c>
      <c r="E5" s="128" t="s">
        <v>18</v>
      </c>
      <c r="F5" s="129">
        <v>132</v>
      </c>
    </row>
    <row r="6" spans="2:6">
      <c r="B6" s="137" t="s">
        <v>5</v>
      </c>
      <c r="C6" s="136" t="s">
        <v>111</v>
      </c>
      <c r="D6" s="136" t="s">
        <v>112</v>
      </c>
      <c r="E6" s="136" t="s">
        <v>6</v>
      </c>
      <c r="F6" s="138">
        <v>40</v>
      </c>
    </row>
    <row r="7" spans="2:6">
      <c r="B7" s="137" t="s">
        <v>5</v>
      </c>
      <c r="C7" s="136" t="s">
        <v>41</v>
      </c>
      <c r="D7" s="136" t="s">
        <v>115</v>
      </c>
      <c r="E7" s="136" t="s">
        <v>18</v>
      </c>
      <c r="F7" s="138">
        <v>43</v>
      </c>
    </row>
    <row r="8" spans="2:6">
      <c r="B8" s="137" t="s">
        <v>5</v>
      </c>
      <c r="C8" s="136" t="s">
        <v>15</v>
      </c>
      <c r="D8" s="136" t="s">
        <v>124</v>
      </c>
      <c r="E8" s="136" t="s">
        <v>6</v>
      </c>
      <c r="F8" s="138">
        <v>24</v>
      </c>
    </row>
    <row r="9" spans="2:6" ht="17" thickBot="1">
      <c r="B9" s="130" t="s">
        <v>5</v>
      </c>
      <c r="C9" s="131" t="s">
        <v>128</v>
      </c>
      <c r="D9" s="131" t="s">
        <v>129</v>
      </c>
      <c r="E9" s="131" t="s">
        <v>6</v>
      </c>
      <c r="F9" s="132">
        <v>479</v>
      </c>
    </row>
    <row r="10" spans="2:6">
      <c r="B10" s="109" t="s">
        <v>17</v>
      </c>
      <c r="C10" s="110" t="s">
        <v>55</v>
      </c>
      <c r="D10" s="110" t="s">
        <v>56</v>
      </c>
      <c r="E10" s="110" t="s">
        <v>18</v>
      </c>
      <c r="F10" s="111">
        <v>174</v>
      </c>
    </row>
    <row r="11" spans="2:6">
      <c r="B11" s="90" t="s">
        <v>17</v>
      </c>
      <c r="C11" s="91" t="s">
        <v>21</v>
      </c>
      <c r="D11" s="91" t="s">
        <v>22</v>
      </c>
      <c r="E11" s="91" t="s">
        <v>6</v>
      </c>
      <c r="F11" s="92">
        <v>264</v>
      </c>
    </row>
    <row r="12" spans="2:6">
      <c r="B12" s="90" t="s">
        <v>17</v>
      </c>
      <c r="C12" s="91" t="s">
        <v>23</v>
      </c>
      <c r="D12" s="91" t="s">
        <v>24</v>
      </c>
      <c r="E12" s="91" t="s">
        <v>6</v>
      </c>
      <c r="F12" s="92">
        <v>90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187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102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47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27</v>
      </c>
    </row>
    <row r="17" spans="2:1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118</v>
      </c>
    </row>
    <row r="18" spans="2:11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3</v>
      </c>
    </row>
    <row r="19" spans="2:11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992.25</v>
      </c>
    </row>
    <row r="20" spans="2:11">
      <c r="B20" s="102" t="s">
        <v>27</v>
      </c>
      <c r="C20" s="103" t="s">
        <v>28</v>
      </c>
      <c r="D20" s="103" t="s">
        <v>29</v>
      </c>
      <c r="E20" s="103" t="s">
        <v>6</v>
      </c>
      <c r="F20" s="104">
        <v>206</v>
      </c>
    </row>
    <row r="21" spans="2:11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850</v>
      </c>
    </row>
    <row r="22" spans="2:11">
      <c r="B22" s="102" t="s">
        <v>27</v>
      </c>
      <c r="C22" s="103" t="s">
        <v>32</v>
      </c>
      <c r="D22" s="103" t="s">
        <v>33</v>
      </c>
      <c r="E22" s="103" t="s">
        <v>6</v>
      </c>
      <c r="F22" s="104">
        <v>248</v>
      </c>
    </row>
    <row r="23" spans="2:11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608</v>
      </c>
      <c r="H23">
        <f>SUM(F23:F26,F28)</f>
        <v>1327</v>
      </c>
    </row>
    <row r="24" spans="2:11">
      <c r="B24" s="102" t="s">
        <v>27</v>
      </c>
      <c r="C24" s="103" t="s">
        <v>9</v>
      </c>
      <c r="D24" s="103" t="s">
        <v>105</v>
      </c>
      <c r="E24" s="103" t="s">
        <v>6</v>
      </c>
      <c r="F24" s="104">
        <v>235</v>
      </c>
      <c r="H24">
        <f>H23*0.11</f>
        <v>145.97</v>
      </c>
      <c r="I24">
        <f>1225*0.9</f>
        <v>1102.5</v>
      </c>
      <c r="K24">
        <f>H24/4</f>
        <v>36.4925</v>
      </c>
    </row>
    <row r="25" spans="2:11">
      <c r="B25" s="102" t="s">
        <v>27</v>
      </c>
      <c r="C25" s="103" t="s">
        <v>53</v>
      </c>
      <c r="D25" s="103" t="s">
        <v>123</v>
      </c>
      <c r="E25" s="103" t="s">
        <v>6</v>
      </c>
      <c r="F25" s="104">
        <v>50</v>
      </c>
      <c r="I25">
        <f>I24*0.9</f>
        <v>992.25</v>
      </c>
    </row>
    <row r="26" spans="2:11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299</v>
      </c>
    </row>
    <row r="27" spans="2:11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63</v>
      </c>
    </row>
    <row r="28" spans="2:11">
      <c r="B28" s="102" t="s">
        <v>27</v>
      </c>
      <c r="C28" s="103" t="s">
        <v>81</v>
      </c>
      <c r="D28" s="103" t="s">
        <v>82</v>
      </c>
      <c r="E28" s="103" t="s">
        <v>6</v>
      </c>
      <c r="F28" s="104">
        <v>135</v>
      </c>
    </row>
    <row r="29" spans="2:11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188</v>
      </c>
    </row>
    <row r="30" spans="2:11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25</v>
      </c>
    </row>
    <row r="31" spans="2:11">
      <c r="B31" s="122" t="s">
        <v>40</v>
      </c>
      <c r="C31" s="118" t="s">
        <v>47</v>
      </c>
      <c r="D31" s="118" t="s">
        <v>48</v>
      </c>
      <c r="E31" s="118" t="s">
        <v>6</v>
      </c>
      <c r="F31" s="123">
        <v>337</v>
      </c>
    </row>
    <row r="32" spans="2:11">
      <c r="B32" s="122" t="s">
        <v>40</v>
      </c>
      <c r="C32" s="118" t="s">
        <v>11</v>
      </c>
      <c r="D32" s="118" t="s">
        <v>122</v>
      </c>
      <c r="E32" s="118" t="s">
        <v>6</v>
      </c>
      <c r="F32" s="123">
        <v>82</v>
      </c>
    </row>
    <row r="33" spans="2:6">
      <c r="B33" s="122" t="s">
        <v>40</v>
      </c>
      <c r="C33" s="118" t="s">
        <v>71</v>
      </c>
      <c r="D33" s="118" t="s">
        <v>125</v>
      </c>
      <c r="E33" s="118" t="s">
        <v>18</v>
      </c>
      <c r="F33" s="123">
        <v>115</v>
      </c>
    </row>
    <row r="34" spans="2:6">
      <c r="B34" s="122" t="s">
        <v>40</v>
      </c>
      <c r="C34" s="118" t="s">
        <v>65</v>
      </c>
      <c r="D34" s="118" t="s">
        <v>66</v>
      </c>
      <c r="E34" s="118" t="s">
        <v>6</v>
      </c>
      <c r="F34" s="123">
        <v>15</v>
      </c>
    </row>
    <row r="35" spans="2:6">
      <c r="B35" s="122" t="s">
        <v>40</v>
      </c>
      <c r="C35" s="118" t="s">
        <v>49</v>
      </c>
      <c r="D35" s="118" t="s">
        <v>50</v>
      </c>
      <c r="E35" s="118" t="s">
        <v>6</v>
      </c>
      <c r="F35" s="123">
        <v>533</v>
      </c>
    </row>
    <row r="36" spans="2:6" ht="17" thickBot="1">
      <c r="B36" s="124" t="s">
        <v>40</v>
      </c>
      <c r="C36" s="125" t="s">
        <v>126</v>
      </c>
      <c r="D36" s="125" t="s">
        <v>127</v>
      </c>
      <c r="E36" s="125" t="s">
        <v>6</v>
      </c>
      <c r="F36" s="126">
        <v>133</v>
      </c>
    </row>
  </sheetData>
  <sortState xmlns:xlrd2="http://schemas.microsoft.com/office/spreadsheetml/2017/richdata2" ref="B5:F36">
    <sortCondition ref="B6:B36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DB75-C780-2C4C-906F-9C649D18D483}">
  <dimension ref="B3:J38"/>
  <sheetViews>
    <sheetView showGridLines="0" topLeftCell="A9" workbookViewId="0">
      <selection activeCell="J20" sqref="J20"/>
    </sheetView>
  </sheetViews>
  <sheetFormatPr baseColWidth="10" defaultRowHeight="16"/>
  <cols>
    <col min="4" max="4" width="15.1640625" bestFit="1" customWidth="1"/>
    <col min="8" max="8" width="10.832031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50</v>
      </c>
    </row>
    <row r="6" spans="2:6">
      <c r="B6" s="137" t="s">
        <v>5</v>
      </c>
      <c r="C6" s="136" t="s">
        <v>41</v>
      </c>
      <c r="D6" s="136" t="s">
        <v>115</v>
      </c>
      <c r="E6" s="136" t="s">
        <v>18</v>
      </c>
      <c r="F6" s="138">
        <v>185</v>
      </c>
    </row>
    <row r="7" spans="2:6">
      <c r="B7" s="137" t="s">
        <v>5</v>
      </c>
      <c r="C7" s="136" t="s">
        <v>15</v>
      </c>
      <c r="D7" s="136" t="s">
        <v>124</v>
      </c>
      <c r="E7" s="136" t="s">
        <v>6</v>
      </c>
      <c r="F7" s="138">
        <v>86</v>
      </c>
    </row>
    <row r="8" spans="2:6" ht="17" thickBot="1">
      <c r="B8" s="130" t="s">
        <v>5</v>
      </c>
      <c r="C8" s="131" t="s">
        <v>128</v>
      </c>
      <c r="D8" s="131" t="s">
        <v>129</v>
      </c>
      <c r="E8" s="131" t="s">
        <v>6</v>
      </c>
      <c r="F8" s="132">
        <v>1800</v>
      </c>
    </row>
    <row r="9" spans="2:6">
      <c r="B9" s="87" t="s">
        <v>17</v>
      </c>
      <c r="C9" s="88" t="s">
        <v>55</v>
      </c>
      <c r="D9" s="88" t="s">
        <v>56</v>
      </c>
      <c r="E9" s="88" t="s">
        <v>6</v>
      </c>
      <c r="F9" s="89">
        <v>196</v>
      </c>
    </row>
    <row r="10" spans="2:6">
      <c r="B10" s="109" t="s">
        <v>17</v>
      </c>
      <c r="C10" s="110" t="s">
        <v>21</v>
      </c>
      <c r="D10" s="110" t="s">
        <v>22</v>
      </c>
      <c r="E10" s="110" t="s">
        <v>6</v>
      </c>
      <c r="F10" s="111">
        <v>202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558</v>
      </c>
    </row>
    <row r="12" spans="2:6">
      <c r="B12" s="90" t="s">
        <v>17</v>
      </c>
      <c r="C12" s="91" t="s">
        <v>19</v>
      </c>
      <c r="D12" s="91" t="s">
        <v>20</v>
      </c>
      <c r="E12" s="91" t="s">
        <v>6</v>
      </c>
      <c r="F12" s="92">
        <v>56</v>
      </c>
    </row>
    <row r="13" spans="2:6">
      <c r="B13" s="90" t="s">
        <v>17</v>
      </c>
      <c r="C13" s="91" t="s">
        <v>79</v>
      </c>
      <c r="D13" s="91" t="s">
        <v>80</v>
      </c>
      <c r="E13" s="91" t="s">
        <v>18</v>
      </c>
      <c r="F13" s="92">
        <v>10</v>
      </c>
    </row>
    <row r="14" spans="2:6">
      <c r="B14" s="90" t="s">
        <v>17</v>
      </c>
      <c r="C14" s="91" t="s">
        <v>25</v>
      </c>
      <c r="D14" s="91" t="s">
        <v>26</v>
      </c>
      <c r="E14" s="91" t="s">
        <v>6</v>
      </c>
      <c r="F14" s="92">
        <v>100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5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18</v>
      </c>
      <c r="F16" s="92">
        <v>9</v>
      </c>
    </row>
    <row r="17" spans="2:10" ht="17" thickBot="1">
      <c r="B17" s="93" t="s">
        <v>17</v>
      </c>
      <c r="C17" s="94" t="s">
        <v>59</v>
      </c>
      <c r="D17" s="94" t="s">
        <v>104</v>
      </c>
      <c r="E17" s="94" t="s">
        <v>6</v>
      </c>
      <c r="F17" s="95">
        <v>75</v>
      </c>
    </row>
    <row r="18" spans="2:10">
      <c r="B18" s="139" t="s">
        <v>27</v>
      </c>
      <c r="C18" s="140" t="s">
        <v>61</v>
      </c>
      <c r="D18" s="140" t="s">
        <v>62</v>
      </c>
      <c r="E18" s="140" t="s">
        <v>18</v>
      </c>
      <c r="F18" s="141">
        <v>81</v>
      </c>
    </row>
    <row r="19" spans="2:10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345</v>
      </c>
    </row>
    <row r="20" spans="2:10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500</v>
      </c>
    </row>
    <row r="21" spans="2:10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668</v>
      </c>
    </row>
    <row r="22" spans="2:10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544</v>
      </c>
    </row>
    <row r="23" spans="2:10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185</v>
      </c>
    </row>
    <row r="24" spans="2:10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290</v>
      </c>
    </row>
    <row r="25" spans="2:10">
      <c r="B25" s="102" t="s">
        <v>27</v>
      </c>
      <c r="C25" s="103" t="s">
        <v>53</v>
      </c>
      <c r="D25" s="103" t="s">
        <v>123</v>
      </c>
      <c r="E25" s="103" t="s">
        <v>18</v>
      </c>
      <c r="F25" s="104">
        <v>29</v>
      </c>
    </row>
    <row r="26" spans="2:10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107</v>
      </c>
    </row>
    <row r="27" spans="2:10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0</v>
      </c>
    </row>
    <row r="28" spans="2:10">
      <c r="B28" s="102" t="s">
        <v>27</v>
      </c>
      <c r="C28" s="103" t="s">
        <v>81</v>
      </c>
      <c r="D28" s="103" t="s">
        <v>82</v>
      </c>
      <c r="E28" s="103" t="s">
        <v>18</v>
      </c>
      <c r="F28" s="104">
        <v>444</v>
      </c>
    </row>
    <row r="29" spans="2:10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50</v>
      </c>
    </row>
    <row r="30" spans="2:10">
      <c r="B30" s="122" t="s">
        <v>40</v>
      </c>
      <c r="C30" s="118" t="s">
        <v>45</v>
      </c>
      <c r="D30" s="118" t="s">
        <v>46</v>
      </c>
      <c r="E30" s="118" t="s">
        <v>18</v>
      </c>
      <c r="F30" s="123">
        <v>200</v>
      </c>
    </row>
    <row r="31" spans="2:10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120</v>
      </c>
      <c r="J31">
        <f>735-225</f>
        <v>510</v>
      </c>
    </row>
    <row r="32" spans="2:10">
      <c r="B32" s="122" t="s">
        <v>40</v>
      </c>
      <c r="C32" s="118" t="s">
        <v>47</v>
      </c>
      <c r="D32" s="118" t="s">
        <v>48</v>
      </c>
      <c r="E32" s="118" t="s">
        <v>6</v>
      </c>
      <c r="F32" s="123">
        <v>239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112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30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49</v>
      </c>
    </row>
    <row r="36" spans="2:6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107</v>
      </c>
    </row>
    <row r="37" spans="2:6">
      <c r="B37" s="122" t="s">
        <v>40</v>
      </c>
      <c r="C37" s="118" t="s">
        <v>126</v>
      </c>
      <c r="D37" s="118" t="s">
        <v>127</v>
      </c>
      <c r="E37" s="118" t="s">
        <v>6</v>
      </c>
      <c r="F37" s="123">
        <v>495</v>
      </c>
    </row>
    <row r="38" spans="2:6" ht="17" thickBot="1">
      <c r="B38" s="124" t="s">
        <v>40</v>
      </c>
      <c r="C38" s="125" t="s">
        <v>132</v>
      </c>
      <c r="D38" s="125" t="s">
        <v>133</v>
      </c>
      <c r="E38" s="125" t="s">
        <v>6</v>
      </c>
      <c r="F38" s="126">
        <v>100</v>
      </c>
    </row>
  </sheetData>
  <sortState xmlns:xlrd2="http://schemas.microsoft.com/office/spreadsheetml/2017/richdata2" ref="N5:R38">
    <sortCondition ref="N6:N38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710E-14F1-464B-A50D-878A173AA683}">
  <dimension ref="B2:U40"/>
  <sheetViews>
    <sheetView showGridLines="0" topLeftCell="A10" workbookViewId="0">
      <selection activeCell="J34" sqref="J34"/>
    </sheetView>
  </sheetViews>
  <sheetFormatPr baseColWidth="10" defaultRowHeight="16"/>
  <cols>
    <col min="4" max="4" width="15.1640625" bestFit="1" customWidth="1"/>
    <col min="13" max="13" width="9" customWidth="1"/>
    <col min="14" max="14" width="9.1640625" customWidth="1"/>
    <col min="18" max="18" width="15.83203125" bestFit="1" customWidth="1"/>
  </cols>
  <sheetData>
    <row r="2" spans="2:20">
      <c r="S2" t="s">
        <v>216</v>
      </c>
    </row>
    <row r="3" spans="2:20" ht="17" thickBot="1">
      <c r="R3" t="s">
        <v>2</v>
      </c>
      <c r="S3" t="s">
        <v>217</v>
      </c>
      <c r="T3" t="s">
        <v>4</v>
      </c>
    </row>
    <row r="4" spans="2:20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R4" t="s">
        <v>33</v>
      </c>
      <c r="S4" t="s">
        <v>32</v>
      </c>
      <c r="T4">
        <v>-25</v>
      </c>
    </row>
    <row r="5" spans="2:20">
      <c r="B5" s="127" t="s">
        <v>5</v>
      </c>
      <c r="C5" s="128" t="s">
        <v>224</v>
      </c>
      <c r="D5" s="128" t="s">
        <v>225</v>
      </c>
      <c r="E5" s="128" t="s">
        <v>6</v>
      </c>
      <c r="F5" s="129">
        <v>35</v>
      </c>
      <c r="R5" t="s">
        <v>24</v>
      </c>
      <c r="S5" t="s">
        <v>23</v>
      </c>
      <c r="T5">
        <v>125</v>
      </c>
    </row>
    <row r="6" spans="2:20">
      <c r="B6" s="137" t="s">
        <v>5</v>
      </c>
      <c r="C6" s="136" t="s">
        <v>111</v>
      </c>
      <c r="D6" s="136" t="s">
        <v>112</v>
      </c>
      <c r="E6" s="136" t="s">
        <v>18</v>
      </c>
      <c r="F6" s="138">
        <v>52</v>
      </c>
      <c r="R6" t="s">
        <v>218</v>
      </c>
      <c r="S6" t="s">
        <v>19</v>
      </c>
      <c r="T6">
        <v>25</v>
      </c>
    </row>
    <row r="7" spans="2:20">
      <c r="B7" s="137" t="s">
        <v>5</v>
      </c>
      <c r="C7" s="136" t="s">
        <v>41</v>
      </c>
      <c r="D7" s="136" t="s">
        <v>115</v>
      </c>
      <c r="E7" s="136" t="s">
        <v>18</v>
      </c>
      <c r="F7" s="138">
        <v>193</v>
      </c>
      <c r="R7" t="s">
        <v>104</v>
      </c>
      <c r="S7" t="s">
        <v>59</v>
      </c>
      <c r="T7">
        <v>25</v>
      </c>
    </row>
    <row r="8" spans="2:20">
      <c r="B8" s="137" t="s">
        <v>5</v>
      </c>
      <c r="C8" s="136" t="s">
        <v>15</v>
      </c>
      <c r="D8" s="136" t="s">
        <v>124</v>
      </c>
      <c r="E8" s="136" t="s">
        <v>6</v>
      </c>
      <c r="F8" s="138">
        <v>69</v>
      </c>
      <c r="R8" t="s">
        <v>219</v>
      </c>
      <c r="S8" t="s">
        <v>126</v>
      </c>
      <c r="T8">
        <v>280</v>
      </c>
    </row>
    <row r="9" spans="2:20">
      <c r="B9" s="137" t="s">
        <v>5</v>
      </c>
      <c r="C9" s="136" t="s">
        <v>128</v>
      </c>
      <c r="D9" s="136" t="s">
        <v>129</v>
      </c>
      <c r="E9" s="136" t="s">
        <v>6</v>
      </c>
      <c r="F9" s="138">
        <v>1800</v>
      </c>
      <c r="R9" t="s">
        <v>220</v>
      </c>
      <c r="S9" t="s">
        <v>65</v>
      </c>
      <c r="T9">
        <v>76</v>
      </c>
    </row>
    <row r="10" spans="2:20">
      <c r="B10" s="137" t="s">
        <v>5</v>
      </c>
      <c r="C10" s="136" t="s">
        <v>226</v>
      </c>
      <c r="D10" s="136" t="s">
        <v>227</v>
      </c>
      <c r="E10" s="136" t="s">
        <v>6</v>
      </c>
      <c r="F10" s="138">
        <v>56</v>
      </c>
    </row>
    <row r="11" spans="2:20" ht="17" thickBot="1">
      <c r="B11" s="130" t="s">
        <v>5</v>
      </c>
      <c r="C11" s="131" t="s">
        <v>228</v>
      </c>
      <c r="D11" s="131" t="s">
        <v>229</v>
      </c>
      <c r="E11" s="131" t="s">
        <v>6</v>
      </c>
      <c r="F11" s="132">
        <v>12</v>
      </c>
    </row>
    <row r="12" spans="2:20">
      <c r="B12" s="90" t="s">
        <v>17</v>
      </c>
      <c r="C12" s="91" t="s">
        <v>55</v>
      </c>
      <c r="D12" s="91" t="s">
        <v>56</v>
      </c>
      <c r="E12" s="91" t="s">
        <v>6</v>
      </c>
      <c r="F12" s="92">
        <v>45</v>
      </c>
    </row>
    <row r="13" spans="2:20">
      <c r="B13" s="90" t="s">
        <v>17</v>
      </c>
      <c r="C13" s="91" t="s">
        <v>21</v>
      </c>
      <c r="D13" s="91" t="s">
        <v>22</v>
      </c>
      <c r="E13" s="91" t="s">
        <v>18</v>
      </c>
      <c r="F13" s="92">
        <v>424</v>
      </c>
    </row>
    <row r="14" spans="2:20">
      <c r="B14" s="90" t="s">
        <v>17</v>
      </c>
      <c r="C14" s="91" t="s">
        <v>23</v>
      </c>
      <c r="D14" s="91" t="s">
        <v>24</v>
      </c>
      <c r="E14" s="91" t="s">
        <v>6</v>
      </c>
      <c r="F14" s="92">
        <v>275</v>
      </c>
    </row>
    <row r="15" spans="2:20">
      <c r="B15" s="90" t="s">
        <v>17</v>
      </c>
      <c r="C15" s="91" t="s">
        <v>19</v>
      </c>
      <c r="D15" s="91" t="s">
        <v>20</v>
      </c>
      <c r="E15" s="91" t="s">
        <v>18</v>
      </c>
      <c r="F15" s="92">
        <v>32</v>
      </c>
    </row>
    <row r="16" spans="2:20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40</v>
      </c>
    </row>
    <row r="17" spans="2:2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252</v>
      </c>
    </row>
    <row r="18" spans="2:21" ht="17" thickBot="1">
      <c r="B18" s="93" t="s">
        <v>17</v>
      </c>
      <c r="C18" s="94" t="s">
        <v>221</v>
      </c>
      <c r="D18" s="94" t="s">
        <v>230</v>
      </c>
      <c r="E18" s="94" t="s">
        <v>6</v>
      </c>
      <c r="F18" s="95">
        <v>30</v>
      </c>
    </row>
    <row r="19" spans="2:21">
      <c r="B19" s="102" t="s">
        <v>27</v>
      </c>
      <c r="C19" s="103" t="s">
        <v>61</v>
      </c>
      <c r="D19" s="103" t="s">
        <v>62</v>
      </c>
      <c r="E19" s="103" t="s">
        <v>6</v>
      </c>
      <c r="F19" s="104">
        <v>168</v>
      </c>
    </row>
    <row r="20" spans="2:21">
      <c r="B20" s="102" t="s">
        <v>27</v>
      </c>
      <c r="C20" s="103" t="s">
        <v>30</v>
      </c>
      <c r="D20" s="103" t="s">
        <v>31</v>
      </c>
      <c r="E20" s="103" t="s">
        <v>6</v>
      </c>
      <c r="F20" s="104">
        <v>989</v>
      </c>
    </row>
    <row r="21" spans="2:21">
      <c r="B21" s="102" t="s">
        <v>27</v>
      </c>
      <c r="C21" s="103" t="s">
        <v>28</v>
      </c>
      <c r="D21" s="103" t="s">
        <v>29</v>
      </c>
      <c r="E21" s="103" t="s">
        <v>18</v>
      </c>
      <c r="F21" s="104">
        <v>0</v>
      </c>
      <c r="Q21" s="102" t="s">
        <v>27</v>
      </c>
      <c r="R21" s="103" t="s">
        <v>30</v>
      </c>
      <c r="S21" s="103" t="s">
        <v>31</v>
      </c>
      <c r="T21" s="103" t="s">
        <v>6</v>
      </c>
      <c r="U21" s="104">
        <v>989</v>
      </c>
    </row>
    <row r="22" spans="2:21">
      <c r="B22" s="102" t="s">
        <v>27</v>
      </c>
      <c r="C22" s="103" t="s">
        <v>69</v>
      </c>
      <c r="D22" s="103" t="s">
        <v>39</v>
      </c>
      <c r="E22" s="103" t="s">
        <v>18</v>
      </c>
      <c r="F22" s="104">
        <v>115</v>
      </c>
      <c r="L22" s="108"/>
      <c r="M22" s="108" t="s">
        <v>236</v>
      </c>
      <c r="N22" s="108" t="s">
        <v>240</v>
      </c>
      <c r="Q22" s="102" t="s">
        <v>27</v>
      </c>
      <c r="R22" s="103" t="s">
        <v>34</v>
      </c>
      <c r="S22" s="103" t="s">
        <v>35</v>
      </c>
      <c r="T22" s="103" t="s">
        <v>6</v>
      </c>
      <c r="U22" s="104">
        <v>160</v>
      </c>
    </row>
    <row r="23" spans="2:21">
      <c r="B23" s="102" t="s">
        <v>27</v>
      </c>
      <c r="C23" s="103" t="s">
        <v>32</v>
      </c>
      <c r="D23" s="103" t="s">
        <v>33</v>
      </c>
      <c r="E23" s="103" t="s">
        <v>6</v>
      </c>
      <c r="F23" s="104">
        <v>298</v>
      </c>
      <c r="L23" s="108" t="s">
        <v>234</v>
      </c>
      <c r="M23" s="108">
        <f>2785-I27</f>
        <v>495</v>
      </c>
      <c r="N23" s="108">
        <f>M23+513</f>
        <v>1008</v>
      </c>
      <c r="Q23" s="102" t="s">
        <v>27</v>
      </c>
      <c r="R23" s="103" t="s">
        <v>9</v>
      </c>
      <c r="S23" s="103" t="s">
        <v>105</v>
      </c>
      <c r="T23" s="103" t="s">
        <v>6</v>
      </c>
      <c r="U23" s="104">
        <v>287</v>
      </c>
    </row>
    <row r="24" spans="2:21">
      <c r="B24" s="102" t="s">
        <v>27</v>
      </c>
      <c r="C24" s="103" t="s">
        <v>34</v>
      </c>
      <c r="D24" s="103" t="s">
        <v>35</v>
      </c>
      <c r="E24" s="103" t="s">
        <v>6</v>
      </c>
      <c r="F24" s="104">
        <v>160</v>
      </c>
      <c r="L24" s="108" t="s">
        <v>235</v>
      </c>
      <c r="M24" s="108">
        <f>-666+I27</f>
        <v>1624</v>
      </c>
      <c r="N24" s="108">
        <f>M24-103-513</f>
        <v>1008</v>
      </c>
      <c r="Q24" s="102" t="s">
        <v>27</v>
      </c>
      <c r="R24" s="103" t="s">
        <v>53</v>
      </c>
      <c r="S24" s="103" t="s">
        <v>123</v>
      </c>
      <c r="T24" s="103" t="s">
        <v>6</v>
      </c>
      <c r="U24" s="104">
        <v>175</v>
      </c>
    </row>
    <row r="25" spans="2:21">
      <c r="B25" s="102" t="s">
        <v>27</v>
      </c>
      <c r="C25" s="103" t="s">
        <v>9</v>
      </c>
      <c r="D25" s="103" t="s">
        <v>105</v>
      </c>
      <c r="E25" s="103" t="s">
        <v>6</v>
      </c>
      <c r="F25" s="104">
        <v>287</v>
      </c>
      <c r="L25" s="108" t="s">
        <v>5</v>
      </c>
      <c r="M25" s="108">
        <v>1727</v>
      </c>
      <c r="N25" s="108">
        <f>M25-719</f>
        <v>1008</v>
      </c>
      <c r="Q25" s="102" t="s">
        <v>27</v>
      </c>
      <c r="R25" s="103" t="s">
        <v>36</v>
      </c>
      <c r="S25" s="103" t="s">
        <v>37</v>
      </c>
      <c r="T25" s="103" t="s">
        <v>6</v>
      </c>
      <c r="U25" s="104">
        <v>394</v>
      </c>
    </row>
    <row r="26" spans="2:21">
      <c r="B26" s="102" t="s">
        <v>27</v>
      </c>
      <c r="C26" s="103" t="s">
        <v>53</v>
      </c>
      <c r="D26" s="103" t="s">
        <v>123</v>
      </c>
      <c r="E26" s="103" t="s">
        <v>6</v>
      </c>
      <c r="F26" s="104">
        <v>175</v>
      </c>
      <c r="I26" s="103" t="s">
        <v>233</v>
      </c>
      <c r="J26" s="103"/>
      <c r="L26" s="108" t="s">
        <v>17</v>
      </c>
      <c r="M26" s="108">
        <v>186</v>
      </c>
      <c r="N26" s="108">
        <f>M26+719+103</f>
        <v>1008</v>
      </c>
      <c r="Q26" s="102" t="s">
        <v>27</v>
      </c>
      <c r="R26" s="103" t="s">
        <v>81</v>
      </c>
      <c r="S26" s="103" t="s">
        <v>82</v>
      </c>
      <c r="T26" s="103" t="s">
        <v>6</v>
      </c>
      <c r="U26" s="104">
        <v>285</v>
      </c>
    </row>
    <row r="27" spans="2:21">
      <c r="B27" s="102" t="s">
        <v>27</v>
      </c>
      <c r="C27" s="103" t="s">
        <v>36</v>
      </c>
      <c r="D27" s="103" t="s">
        <v>37</v>
      </c>
      <c r="E27" s="103" t="s">
        <v>6</v>
      </c>
      <c r="F27" s="104">
        <v>394</v>
      </c>
      <c r="I27">
        <f>F20+F24+F25+F26+F27+F29</f>
        <v>2290</v>
      </c>
    </row>
    <row r="28" spans="2:21">
      <c r="B28" s="102" t="s">
        <v>27</v>
      </c>
      <c r="C28" s="103" t="s">
        <v>63</v>
      </c>
      <c r="D28" s="103" t="s">
        <v>64</v>
      </c>
      <c r="E28" s="103" t="s">
        <v>6</v>
      </c>
      <c r="F28" s="104">
        <v>65</v>
      </c>
      <c r="O28">
        <f>12+10+14</f>
        <v>36</v>
      </c>
    </row>
    <row r="29" spans="2:21" ht="17" thickBot="1">
      <c r="B29" s="102" t="s">
        <v>27</v>
      </c>
      <c r="C29" s="103" t="s">
        <v>81</v>
      </c>
      <c r="D29" s="103" t="s">
        <v>82</v>
      </c>
      <c r="E29" s="103" t="s">
        <v>6</v>
      </c>
      <c r="F29" s="104">
        <v>285</v>
      </c>
      <c r="O29">
        <f>29+32+34+36</f>
        <v>131</v>
      </c>
    </row>
    <row r="30" spans="2:21" ht="17" thickBot="1">
      <c r="B30" s="105" t="s">
        <v>27</v>
      </c>
      <c r="C30" s="106" t="s">
        <v>13</v>
      </c>
      <c r="D30" s="106" t="s">
        <v>119</v>
      </c>
      <c r="E30" s="106" t="s">
        <v>6</v>
      </c>
      <c r="F30" s="107">
        <v>79</v>
      </c>
      <c r="L30" s="186" t="s">
        <v>237</v>
      </c>
      <c r="M30" s="187"/>
      <c r="O30">
        <f>O29/4</f>
        <v>32.75</v>
      </c>
    </row>
    <row r="31" spans="2:21">
      <c r="B31" s="122" t="s">
        <v>40</v>
      </c>
      <c r="C31" s="118" t="s">
        <v>45</v>
      </c>
      <c r="D31" s="118" t="s">
        <v>46</v>
      </c>
      <c r="E31" s="118" t="s">
        <v>6</v>
      </c>
      <c r="F31" s="123">
        <v>14</v>
      </c>
      <c r="G31" s="142" t="s">
        <v>134</v>
      </c>
      <c r="L31" s="188" t="s">
        <v>238</v>
      </c>
      <c r="M31" s="189"/>
    </row>
    <row r="32" spans="2:21" ht="17" thickBot="1">
      <c r="B32" s="122" t="s">
        <v>40</v>
      </c>
      <c r="C32" s="118" t="s">
        <v>113</v>
      </c>
      <c r="D32" s="118" t="s">
        <v>114</v>
      </c>
      <c r="E32" s="118" t="s">
        <v>6</v>
      </c>
      <c r="F32" s="123">
        <v>50</v>
      </c>
      <c r="L32" s="190" t="s">
        <v>239</v>
      </c>
      <c r="M32" s="191"/>
      <c r="P32" t="s">
        <v>241</v>
      </c>
    </row>
    <row r="33" spans="2:17">
      <c r="B33" s="122" t="s">
        <v>40</v>
      </c>
      <c r="C33" s="118" t="s">
        <v>47</v>
      </c>
      <c r="D33" s="118" t="s">
        <v>48</v>
      </c>
      <c r="E33" s="118" t="s">
        <v>18</v>
      </c>
      <c r="F33" s="123">
        <v>467</v>
      </c>
      <c r="P33" t="s">
        <v>5</v>
      </c>
    </row>
    <row r="34" spans="2:17">
      <c r="B34" s="122" t="s">
        <v>40</v>
      </c>
      <c r="C34" s="118" t="s">
        <v>11</v>
      </c>
      <c r="D34" s="118" t="s">
        <v>122</v>
      </c>
      <c r="E34" s="118" t="s">
        <v>6</v>
      </c>
      <c r="F34" s="123">
        <v>200</v>
      </c>
      <c r="P34" t="s">
        <v>242</v>
      </c>
    </row>
    <row r="35" spans="2:17">
      <c r="B35" s="122" t="s">
        <v>40</v>
      </c>
      <c r="C35" s="118" t="s">
        <v>65</v>
      </c>
      <c r="D35" s="118" t="s">
        <v>66</v>
      </c>
      <c r="E35" s="118" t="s">
        <v>6</v>
      </c>
      <c r="F35" s="123">
        <v>43</v>
      </c>
      <c r="P35" t="s">
        <v>243</v>
      </c>
      <c r="Q35" t="s">
        <v>134</v>
      </c>
    </row>
    <row r="36" spans="2:17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416</v>
      </c>
      <c r="H36">
        <f>F33-260</f>
        <v>207</v>
      </c>
      <c r="J36">
        <f>I27-O39</f>
        <v>2062</v>
      </c>
      <c r="K36" t="s">
        <v>134</v>
      </c>
    </row>
    <row r="37" spans="2:17">
      <c r="B37" s="122" t="s">
        <v>40</v>
      </c>
      <c r="C37" s="118" t="s">
        <v>126</v>
      </c>
      <c r="D37" s="118" t="s">
        <v>127</v>
      </c>
      <c r="E37" s="118" t="s">
        <v>18</v>
      </c>
      <c r="F37" s="123">
        <v>195</v>
      </c>
    </row>
    <row r="38" spans="2:17">
      <c r="B38" s="122" t="s">
        <v>40</v>
      </c>
      <c r="C38" s="118" t="s">
        <v>132</v>
      </c>
      <c r="D38" s="118" t="s">
        <v>133</v>
      </c>
      <c r="E38" s="118" t="s">
        <v>6</v>
      </c>
      <c r="F38" s="123">
        <v>195</v>
      </c>
    </row>
    <row r="39" spans="2:17">
      <c r="B39" s="122" t="s">
        <v>40</v>
      </c>
      <c r="C39" s="118" t="s">
        <v>222</v>
      </c>
      <c r="D39" s="118" t="s">
        <v>231</v>
      </c>
      <c r="E39" s="118" t="s">
        <v>18</v>
      </c>
      <c r="F39" s="123">
        <v>110</v>
      </c>
      <c r="O39">
        <f>57*4</f>
        <v>228</v>
      </c>
    </row>
    <row r="40" spans="2:17" ht="17" thickBot="1">
      <c r="B40" s="124" t="s">
        <v>40</v>
      </c>
      <c r="C40" s="125" t="s">
        <v>223</v>
      </c>
      <c r="D40" s="125" t="s">
        <v>232</v>
      </c>
      <c r="E40" s="125" t="s">
        <v>6</v>
      </c>
      <c r="F40" s="126">
        <v>20</v>
      </c>
    </row>
  </sheetData>
  <sortState xmlns:xlrd2="http://schemas.microsoft.com/office/spreadsheetml/2017/richdata2" ref="B5:F40">
    <sortCondition ref="B8:B40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A7AE-8493-2B44-A730-231869841FAA}">
  <dimension ref="B3:P42"/>
  <sheetViews>
    <sheetView showGridLines="0" topLeftCell="A10" workbookViewId="0">
      <selection activeCell="N28" sqref="N28"/>
    </sheetView>
  </sheetViews>
  <sheetFormatPr baseColWidth="10" defaultRowHeight="16"/>
  <cols>
    <col min="4" max="4" width="15.1640625" bestFit="1" customWidth="1"/>
    <col min="5" max="5" width="10.66406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41</v>
      </c>
      <c r="D5" s="128" t="s">
        <v>115</v>
      </c>
      <c r="E5" s="128" t="s">
        <v>6</v>
      </c>
      <c r="F5" s="129">
        <v>431</v>
      </c>
    </row>
    <row r="6" spans="2:6">
      <c r="B6" s="137" t="s">
        <v>5</v>
      </c>
      <c r="C6" s="136" t="s">
        <v>15</v>
      </c>
      <c r="D6" s="136" t="s">
        <v>124</v>
      </c>
      <c r="E6" s="136" t="s">
        <v>18</v>
      </c>
      <c r="F6" s="138">
        <v>20</v>
      </c>
    </row>
    <row r="7" spans="2:6">
      <c r="B7" s="137" t="s">
        <v>5</v>
      </c>
      <c r="C7" s="136" t="s">
        <v>226</v>
      </c>
      <c r="D7" s="136" t="s">
        <v>227</v>
      </c>
      <c r="E7" s="136" t="s">
        <v>18</v>
      </c>
      <c r="F7" s="138">
        <v>48</v>
      </c>
    </row>
    <row r="8" spans="2:6" ht="17" thickBot="1">
      <c r="B8" s="130" t="s">
        <v>5</v>
      </c>
      <c r="C8" s="131" t="s">
        <v>228</v>
      </c>
      <c r="D8" s="131" t="s">
        <v>229</v>
      </c>
      <c r="E8" s="131" t="s">
        <v>6</v>
      </c>
      <c r="F8" s="132">
        <v>20</v>
      </c>
    </row>
    <row r="9" spans="2:6">
      <c r="B9" s="109" t="s">
        <v>17</v>
      </c>
      <c r="C9" s="110" t="s">
        <v>55</v>
      </c>
      <c r="D9" s="110" t="s">
        <v>56</v>
      </c>
      <c r="E9" s="110" t="s">
        <v>18</v>
      </c>
      <c r="F9" s="111">
        <v>0</v>
      </c>
    </row>
    <row r="10" spans="2:6">
      <c r="B10" s="90" t="s">
        <v>17</v>
      </c>
      <c r="C10" s="91" t="s">
        <v>21</v>
      </c>
      <c r="D10" s="91" t="s">
        <v>22</v>
      </c>
      <c r="E10" s="91" t="s">
        <v>18</v>
      </c>
      <c r="F10" s="92">
        <v>88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73</v>
      </c>
    </row>
    <row r="12" spans="2:6">
      <c r="B12" s="90" t="s">
        <v>17</v>
      </c>
      <c r="C12" s="91" t="s">
        <v>116</v>
      </c>
      <c r="D12" s="91" t="s">
        <v>117</v>
      </c>
      <c r="E12" s="91" t="s">
        <v>6</v>
      </c>
      <c r="F12" s="92">
        <v>250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0</v>
      </c>
    </row>
    <row r="15" spans="2:6">
      <c r="B15" s="90" t="s">
        <v>17</v>
      </c>
      <c r="C15" s="91" t="s">
        <v>109</v>
      </c>
      <c r="D15" s="91" t="s">
        <v>110</v>
      </c>
      <c r="E15" s="91" t="s">
        <v>6</v>
      </c>
      <c r="F15" s="92">
        <v>3</v>
      </c>
    </row>
    <row r="16" spans="2:6">
      <c r="B16" s="90" t="s">
        <v>17</v>
      </c>
      <c r="C16" s="91" t="s">
        <v>59</v>
      </c>
      <c r="D16" s="91" t="s">
        <v>104</v>
      </c>
      <c r="E16" s="91" t="s">
        <v>6</v>
      </c>
      <c r="F16" s="92">
        <v>108</v>
      </c>
    </row>
    <row r="17" spans="2:16" ht="17" thickBot="1">
      <c r="B17" s="93" t="s">
        <v>17</v>
      </c>
      <c r="C17" s="94" t="s">
        <v>221</v>
      </c>
      <c r="D17" s="94" t="s">
        <v>230</v>
      </c>
      <c r="E17" s="94" t="s">
        <v>18</v>
      </c>
      <c r="F17" s="95">
        <v>70</v>
      </c>
    </row>
    <row r="18" spans="2:16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222</v>
      </c>
    </row>
    <row r="19" spans="2:16">
      <c r="B19" s="102" t="s">
        <v>27</v>
      </c>
      <c r="C19" s="103" t="s">
        <v>30</v>
      </c>
      <c r="D19" s="103" t="s">
        <v>31</v>
      </c>
      <c r="E19" s="103" t="s">
        <v>18</v>
      </c>
      <c r="F19" s="104">
        <v>134</v>
      </c>
      <c r="N19" t="s">
        <v>249</v>
      </c>
    </row>
    <row r="20" spans="2:16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544</v>
      </c>
      <c r="J20" t="s">
        <v>236</v>
      </c>
      <c r="K20">
        <v>1237</v>
      </c>
      <c r="N20">
        <v>154</v>
      </c>
    </row>
    <row r="21" spans="2:16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692</v>
      </c>
      <c r="N21">
        <v>500</v>
      </c>
    </row>
    <row r="22" spans="2:16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124</v>
      </c>
      <c r="I22" t="s">
        <v>248</v>
      </c>
      <c r="J22">
        <f>K20-SUM(N20:N28)</f>
        <v>442</v>
      </c>
      <c r="N22">
        <v>71</v>
      </c>
    </row>
    <row r="23" spans="2:16">
      <c r="B23" s="102" t="s">
        <v>27</v>
      </c>
      <c r="C23" s="103" t="s">
        <v>34</v>
      </c>
      <c r="D23" s="103" t="s">
        <v>35</v>
      </c>
      <c r="E23" s="103" t="s">
        <v>18</v>
      </c>
      <c r="F23" s="104">
        <v>352</v>
      </c>
      <c r="J23">
        <v>92</v>
      </c>
      <c r="N23">
        <v>70</v>
      </c>
    </row>
    <row r="24" spans="2:16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26</v>
      </c>
      <c r="J24">
        <f>SUM(J22:J23)</f>
        <v>534</v>
      </c>
    </row>
    <row r="25" spans="2:16">
      <c r="B25" s="102" t="s">
        <v>27</v>
      </c>
      <c r="C25" s="103" t="s">
        <v>36</v>
      </c>
      <c r="D25" s="103" t="s">
        <v>37</v>
      </c>
      <c r="E25" s="103" t="s">
        <v>18</v>
      </c>
      <c r="F25" s="104">
        <v>55</v>
      </c>
    </row>
    <row r="26" spans="2:16">
      <c r="B26" s="102" t="s">
        <v>27</v>
      </c>
      <c r="C26" s="103" t="s">
        <v>63</v>
      </c>
      <c r="D26" s="103" t="s">
        <v>64</v>
      </c>
      <c r="E26" s="103" t="s">
        <v>6</v>
      </c>
      <c r="F26" s="104">
        <v>75</v>
      </c>
    </row>
    <row r="27" spans="2:16">
      <c r="B27" s="102" t="s">
        <v>27</v>
      </c>
      <c r="C27" s="103" t="s">
        <v>81</v>
      </c>
      <c r="D27" s="103" t="s">
        <v>82</v>
      </c>
      <c r="E27" s="103" t="s">
        <v>18</v>
      </c>
      <c r="F27" s="104">
        <v>158</v>
      </c>
      <c r="P27">
        <f>SUM(N20:N22)</f>
        <v>725</v>
      </c>
    </row>
    <row r="28" spans="2:16">
      <c r="B28" s="102" t="s">
        <v>27</v>
      </c>
      <c r="C28" s="103" t="s">
        <v>13</v>
      </c>
      <c r="D28" s="103" t="s">
        <v>119</v>
      </c>
      <c r="E28" s="103" t="s">
        <v>6</v>
      </c>
      <c r="F28" s="104">
        <v>138</v>
      </c>
    </row>
    <row r="29" spans="2:16" ht="17" thickBot="1">
      <c r="B29" s="105" t="s">
        <v>27</v>
      </c>
      <c r="C29" s="106" t="s">
        <v>244</v>
      </c>
      <c r="D29" s="106" t="s">
        <v>245</v>
      </c>
      <c r="E29" s="106" t="s">
        <v>18</v>
      </c>
      <c r="F29" s="107">
        <v>2073</v>
      </c>
    </row>
    <row r="30" spans="2:16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32</v>
      </c>
    </row>
    <row r="31" spans="2:16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121</v>
      </c>
    </row>
    <row r="32" spans="2:16">
      <c r="B32" s="122" t="s">
        <v>40</v>
      </c>
      <c r="C32" s="118" t="s">
        <v>47</v>
      </c>
      <c r="D32" s="118" t="s">
        <v>48</v>
      </c>
      <c r="E32" s="118" t="s">
        <v>18</v>
      </c>
      <c r="F32" s="123">
        <v>125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141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50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20</v>
      </c>
    </row>
    <row r="36" spans="2:6">
      <c r="B36" s="122" t="s">
        <v>40</v>
      </c>
      <c r="C36" s="118" t="s">
        <v>49</v>
      </c>
      <c r="D36" s="118" t="s">
        <v>50</v>
      </c>
      <c r="E36" s="118" t="s">
        <v>6</v>
      </c>
      <c r="F36" s="123">
        <v>10</v>
      </c>
    </row>
    <row r="37" spans="2:6">
      <c r="B37" s="122" t="s">
        <v>40</v>
      </c>
      <c r="C37" s="118" t="s">
        <v>130</v>
      </c>
      <c r="D37" s="118" t="s">
        <v>131</v>
      </c>
      <c r="E37" s="118" t="s">
        <v>18</v>
      </c>
      <c r="F37" s="123">
        <v>808</v>
      </c>
    </row>
    <row r="38" spans="2:6">
      <c r="B38" s="122" t="s">
        <v>40</v>
      </c>
      <c r="C38" s="118" t="s">
        <v>126</v>
      </c>
      <c r="D38" s="118" t="s">
        <v>127</v>
      </c>
      <c r="E38" s="118" t="s">
        <v>18</v>
      </c>
      <c r="F38" s="123">
        <v>1004</v>
      </c>
    </row>
    <row r="39" spans="2:6">
      <c r="B39" s="122" t="s">
        <v>40</v>
      </c>
      <c r="C39" s="118" t="s">
        <v>132</v>
      </c>
      <c r="D39" s="118" t="s">
        <v>133</v>
      </c>
      <c r="E39" s="118" t="s">
        <v>18</v>
      </c>
      <c r="F39" s="123">
        <v>750</v>
      </c>
    </row>
    <row r="40" spans="2:6">
      <c r="B40" s="122" t="s">
        <v>40</v>
      </c>
      <c r="C40" s="118" t="s">
        <v>222</v>
      </c>
      <c r="D40" s="118" t="s">
        <v>231</v>
      </c>
      <c r="E40" s="118" t="s">
        <v>6</v>
      </c>
      <c r="F40" s="123">
        <v>153</v>
      </c>
    </row>
    <row r="41" spans="2:6">
      <c r="B41" s="122" t="s">
        <v>40</v>
      </c>
      <c r="C41" s="118" t="s">
        <v>223</v>
      </c>
      <c r="D41" s="118" t="s">
        <v>232</v>
      </c>
      <c r="E41" s="118" t="s">
        <v>18</v>
      </c>
      <c r="F41" s="123">
        <v>271</v>
      </c>
    </row>
    <row r="42" spans="2:6" ht="17" thickBot="1">
      <c r="B42" s="124" t="s">
        <v>40</v>
      </c>
      <c r="C42" s="125" t="s">
        <v>246</v>
      </c>
      <c r="D42" s="125" t="s">
        <v>247</v>
      </c>
      <c r="E42" s="125" t="s">
        <v>6</v>
      </c>
      <c r="F42" s="126">
        <v>65</v>
      </c>
    </row>
  </sheetData>
  <sortState xmlns:xlrd2="http://schemas.microsoft.com/office/spreadsheetml/2017/richdata2" ref="I5:M42">
    <sortCondition ref="I9:I42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18EB-B2E9-A24B-89CD-D0B254A6856A}">
  <dimension ref="B3:G46"/>
  <sheetViews>
    <sheetView showGridLines="0" topLeftCell="A10" zoomScale="90" zoomScaleNormal="90" workbookViewId="0">
      <selection activeCell="B4" sqref="B4:F4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224</v>
      </c>
      <c r="E5" s="128" t="s">
        <v>225</v>
      </c>
      <c r="F5" s="129">
        <v>0</v>
      </c>
    </row>
    <row r="6" spans="2:6">
      <c r="B6" s="137" t="s">
        <v>5</v>
      </c>
      <c r="C6" s="136" t="s">
        <v>18</v>
      </c>
      <c r="D6" s="136" t="s">
        <v>111</v>
      </c>
      <c r="E6" s="136" t="s">
        <v>112</v>
      </c>
      <c r="F6" s="138">
        <v>889</v>
      </c>
    </row>
    <row r="7" spans="2:6">
      <c r="B7" s="137" t="s">
        <v>5</v>
      </c>
      <c r="C7" s="136" t="s">
        <v>18</v>
      </c>
      <c r="D7" s="136" t="s">
        <v>41</v>
      </c>
      <c r="E7" s="136" t="s">
        <v>115</v>
      </c>
      <c r="F7" s="138">
        <v>96</v>
      </c>
    </row>
    <row r="8" spans="2:6">
      <c r="B8" s="137" t="s">
        <v>5</v>
      </c>
      <c r="C8" s="136" t="s">
        <v>18</v>
      </c>
      <c r="D8" s="136" t="s">
        <v>228</v>
      </c>
      <c r="E8" s="136" t="s">
        <v>229</v>
      </c>
      <c r="F8" s="138">
        <v>20</v>
      </c>
    </row>
    <row r="9" spans="2:6">
      <c r="B9" s="137" t="s">
        <v>5</v>
      </c>
      <c r="C9" s="136" t="s">
        <v>6</v>
      </c>
      <c r="D9" s="136" t="s">
        <v>15</v>
      </c>
      <c r="E9" s="136" t="s">
        <v>124</v>
      </c>
      <c r="F9" s="138">
        <v>147</v>
      </c>
    </row>
    <row r="10" spans="2:6" ht="17" thickBot="1">
      <c r="B10" s="130" t="s">
        <v>5</v>
      </c>
      <c r="C10" s="131" t="s">
        <v>6</v>
      </c>
      <c r="D10" s="131" t="s">
        <v>226</v>
      </c>
      <c r="E10" s="131" t="s">
        <v>227</v>
      </c>
      <c r="F10" s="132">
        <v>6</v>
      </c>
    </row>
    <row r="11" spans="2:6">
      <c r="B11" s="90" t="s">
        <v>17</v>
      </c>
      <c r="C11" s="91" t="s">
        <v>18</v>
      </c>
      <c r="D11" s="91" t="s">
        <v>21</v>
      </c>
      <c r="E11" s="91" t="s">
        <v>22</v>
      </c>
      <c r="F11" s="92">
        <v>417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92">
        <v>16</v>
      </c>
    </row>
    <row r="13" spans="2:6">
      <c r="B13" s="90" t="s">
        <v>17</v>
      </c>
      <c r="C13" s="91" t="s">
        <v>18</v>
      </c>
      <c r="D13" s="91" t="s">
        <v>221</v>
      </c>
      <c r="E13" s="91" t="s">
        <v>230</v>
      </c>
      <c r="F13" s="92">
        <v>221</v>
      </c>
    </row>
    <row r="14" spans="2:6">
      <c r="B14" s="90" t="s">
        <v>17</v>
      </c>
      <c r="C14" s="91" t="s">
        <v>18</v>
      </c>
      <c r="D14" s="91" t="s">
        <v>251</v>
      </c>
      <c r="E14" s="91" t="s">
        <v>252</v>
      </c>
      <c r="F14" s="92">
        <v>76</v>
      </c>
    </row>
    <row r="15" spans="2:6">
      <c r="B15" s="90" t="s">
        <v>17</v>
      </c>
      <c r="C15" s="91" t="s">
        <v>18</v>
      </c>
      <c r="D15" s="91" t="s">
        <v>253</v>
      </c>
      <c r="E15" s="91" t="s">
        <v>254</v>
      </c>
      <c r="F15" s="92">
        <v>126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151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 ht="17" thickBot="1">
      <c r="B19" s="93" t="s">
        <v>17</v>
      </c>
      <c r="C19" s="94" t="s">
        <v>6</v>
      </c>
      <c r="D19" s="94" t="s">
        <v>59</v>
      </c>
      <c r="E19" s="94" t="s">
        <v>104</v>
      </c>
      <c r="F19" s="95">
        <v>12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375</v>
      </c>
    </row>
    <row r="21" spans="2:6">
      <c r="B21" s="102" t="s">
        <v>27</v>
      </c>
      <c r="C21" s="103" t="s">
        <v>18</v>
      </c>
      <c r="D21" s="103" t="s">
        <v>69</v>
      </c>
      <c r="E21" s="103" t="s">
        <v>39</v>
      </c>
      <c r="F21" s="104">
        <v>217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21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182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56</v>
      </c>
    </row>
    <row r="25" spans="2:6">
      <c r="B25" s="102" t="s">
        <v>27</v>
      </c>
      <c r="C25" s="103" t="s">
        <v>18</v>
      </c>
      <c r="D25" s="103" t="s">
        <v>244</v>
      </c>
      <c r="E25" s="103" t="s">
        <v>245</v>
      </c>
      <c r="F25" s="104">
        <v>822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237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457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61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20</v>
      </c>
    </row>
    <row r="30" spans="2:6" ht="17" thickBot="1">
      <c r="B30" s="105" t="s">
        <v>27</v>
      </c>
      <c r="C30" s="106" t="s">
        <v>6</v>
      </c>
      <c r="D30" s="106" t="s">
        <v>63</v>
      </c>
      <c r="E30" s="106" t="s">
        <v>64</v>
      </c>
      <c r="F30" s="107">
        <v>25</v>
      </c>
    </row>
    <row r="31" spans="2:6">
      <c r="B31" s="122" t="s">
        <v>40</v>
      </c>
      <c r="C31" s="118" t="s">
        <v>18</v>
      </c>
      <c r="D31" s="118" t="s">
        <v>11</v>
      </c>
      <c r="E31" s="118" t="s">
        <v>122</v>
      </c>
      <c r="F31" s="123">
        <v>264</v>
      </c>
    </row>
    <row r="32" spans="2:6">
      <c r="B32" s="122" t="s">
        <v>40</v>
      </c>
      <c r="C32" s="118" t="s">
        <v>18</v>
      </c>
      <c r="D32" s="118" t="s">
        <v>71</v>
      </c>
      <c r="E32" s="118" t="s">
        <v>125</v>
      </c>
      <c r="F32" s="123">
        <v>31</v>
      </c>
    </row>
    <row r="33" spans="2:7">
      <c r="B33" s="122" t="s">
        <v>40</v>
      </c>
      <c r="C33" s="118" t="s">
        <v>18</v>
      </c>
      <c r="D33" s="118" t="s">
        <v>65</v>
      </c>
      <c r="E33" s="118" t="s">
        <v>66</v>
      </c>
      <c r="F33" s="123">
        <v>18</v>
      </c>
    </row>
    <row r="34" spans="2:7">
      <c r="B34" s="122" t="s">
        <v>40</v>
      </c>
      <c r="C34" s="118" t="s">
        <v>18</v>
      </c>
      <c r="D34" s="118" t="s">
        <v>130</v>
      </c>
      <c r="E34" s="118" t="s">
        <v>131</v>
      </c>
      <c r="F34" s="123">
        <v>3</v>
      </c>
    </row>
    <row r="35" spans="2:7">
      <c r="B35" s="122" t="s">
        <v>40</v>
      </c>
      <c r="C35" s="118" t="s">
        <v>18</v>
      </c>
      <c r="D35" s="118" t="s">
        <v>126</v>
      </c>
      <c r="E35" s="118" t="s">
        <v>127</v>
      </c>
      <c r="F35" s="123">
        <v>1935</v>
      </c>
    </row>
    <row r="36" spans="2:7">
      <c r="B36" s="122" t="s">
        <v>40</v>
      </c>
      <c r="C36" s="118" t="s">
        <v>18</v>
      </c>
      <c r="D36" s="118" t="s">
        <v>132</v>
      </c>
      <c r="E36" s="118" t="s">
        <v>133</v>
      </c>
      <c r="F36" s="123">
        <v>777</v>
      </c>
    </row>
    <row r="37" spans="2:7">
      <c r="B37" s="122" t="s">
        <v>40</v>
      </c>
      <c r="C37" s="118" t="s">
        <v>18</v>
      </c>
      <c r="D37" s="118" t="s">
        <v>255</v>
      </c>
      <c r="E37" s="118" t="s">
        <v>256</v>
      </c>
      <c r="F37" s="123">
        <v>480</v>
      </c>
    </row>
    <row r="38" spans="2:7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183</v>
      </c>
    </row>
    <row r="39" spans="2:7">
      <c r="B39" s="122" t="s">
        <v>40</v>
      </c>
      <c r="C39" s="118" t="s">
        <v>6</v>
      </c>
      <c r="D39" s="118" t="s">
        <v>120</v>
      </c>
      <c r="E39" s="118" t="s">
        <v>121</v>
      </c>
      <c r="F39" s="123">
        <v>25</v>
      </c>
    </row>
    <row r="40" spans="2:7">
      <c r="B40" s="122" t="s">
        <v>40</v>
      </c>
      <c r="C40" s="118" t="s">
        <v>6</v>
      </c>
      <c r="D40" s="118" t="s">
        <v>47</v>
      </c>
      <c r="E40" s="118" t="s">
        <v>48</v>
      </c>
      <c r="F40" s="123">
        <v>590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50</v>
      </c>
      <c r="F41" s="123">
        <v>303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338</v>
      </c>
    </row>
    <row r="43" spans="2:7">
      <c r="B43" s="122" t="s">
        <v>40</v>
      </c>
      <c r="C43" s="118" t="s">
        <v>6</v>
      </c>
      <c r="D43" s="118" t="s">
        <v>223</v>
      </c>
      <c r="E43" s="118" t="s">
        <v>232</v>
      </c>
      <c r="F43" s="123">
        <v>184</v>
      </c>
      <c r="G43" s="142" t="s">
        <v>261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123">
        <v>45</v>
      </c>
    </row>
    <row r="45" spans="2:7">
      <c r="B45" s="122" t="s">
        <v>40</v>
      </c>
      <c r="C45" s="118" t="s">
        <v>6</v>
      </c>
      <c r="D45" s="118" t="s">
        <v>246</v>
      </c>
      <c r="E45" s="118" t="s">
        <v>247</v>
      </c>
      <c r="F45" s="123">
        <v>70</v>
      </c>
      <c r="G45" s="142" t="s">
        <v>261</v>
      </c>
    </row>
    <row r="46" spans="2:7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434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9F75-CFC4-834B-91E8-E0F7C8A11E90}">
  <dimension ref="B3:O78"/>
  <sheetViews>
    <sheetView showGridLines="0" topLeftCell="A12" zoomScale="90" zoomScaleNormal="90" workbookViewId="0">
      <selection activeCell="G40" sqref="G40"/>
    </sheetView>
  </sheetViews>
  <sheetFormatPr baseColWidth="10" defaultRowHeight="16"/>
  <cols>
    <col min="5" max="5" width="15.1640625" bestFit="1" customWidth="1"/>
    <col min="14" max="14" width="79" customWidth="1"/>
  </cols>
  <sheetData>
    <row r="3" spans="2:15" ht="17" thickBot="1"/>
    <row r="4" spans="2:15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2" t="s">
        <v>264</v>
      </c>
      <c r="I4" s="193"/>
      <c r="J4" s="193"/>
      <c r="K4" s="193"/>
      <c r="L4" s="193"/>
      <c r="M4" s="193"/>
      <c r="N4" s="193"/>
      <c r="O4" s="193"/>
    </row>
    <row r="5" spans="2:15">
      <c r="B5" s="127" t="s">
        <v>5</v>
      </c>
      <c r="C5" s="128" t="s">
        <v>18</v>
      </c>
      <c r="D5" s="128" t="s">
        <v>41</v>
      </c>
      <c r="E5" s="128" t="s">
        <v>115</v>
      </c>
      <c r="F5" s="129">
        <v>235</v>
      </c>
      <c r="H5" s="192" t="s">
        <v>265</v>
      </c>
      <c r="I5" s="193"/>
      <c r="J5" s="193"/>
      <c r="K5" s="193"/>
      <c r="L5" s="193"/>
      <c r="M5" s="193"/>
      <c r="N5" s="193"/>
      <c r="O5" s="193"/>
    </row>
    <row r="6" spans="2:15">
      <c r="B6" s="137" t="s">
        <v>5</v>
      </c>
      <c r="C6" s="136" t="s">
        <v>6</v>
      </c>
      <c r="D6" s="136" t="s">
        <v>111</v>
      </c>
      <c r="E6" s="136" t="s">
        <v>112</v>
      </c>
      <c r="F6" s="138">
        <v>150</v>
      </c>
    </row>
    <row r="7" spans="2:15">
      <c r="B7" s="137" t="s">
        <v>5</v>
      </c>
      <c r="C7" s="136" t="s">
        <v>6</v>
      </c>
      <c r="D7" s="136" t="s">
        <v>15</v>
      </c>
      <c r="E7" s="136" t="s">
        <v>124</v>
      </c>
      <c r="F7" s="138">
        <v>31</v>
      </c>
    </row>
    <row r="8" spans="2:15">
      <c r="B8" s="137" t="s">
        <v>5</v>
      </c>
      <c r="C8" s="136" t="s">
        <v>6</v>
      </c>
      <c r="D8" s="136" t="s">
        <v>226</v>
      </c>
      <c r="E8" s="136" t="s">
        <v>227</v>
      </c>
      <c r="F8" s="138">
        <v>35</v>
      </c>
    </row>
    <row r="9" spans="2:15">
      <c r="B9" s="137" t="s">
        <v>5</v>
      </c>
      <c r="C9" s="136" t="s">
        <v>6</v>
      </c>
      <c r="D9" s="136" t="s">
        <v>228</v>
      </c>
      <c r="E9" s="136" t="s">
        <v>229</v>
      </c>
      <c r="F9" s="138">
        <v>63</v>
      </c>
    </row>
    <row r="10" spans="2:15">
      <c r="B10" s="90" t="s">
        <v>17</v>
      </c>
      <c r="C10" s="91" t="s">
        <v>18</v>
      </c>
      <c r="D10" s="91" t="s">
        <v>55</v>
      </c>
      <c r="E10" s="91" t="s">
        <v>56</v>
      </c>
      <c r="F10" s="92">
        <v>0</v>
      </c>
    </row>
    <row r="11" spans="2:15">
      <c r="B11" s="90" t="s">
        <v>17</v>
      </c>
      <c r="C11" s="91" t="s">
        <v>18</v>
      </c>
      <c r="D11" s="91" t="s">
        <v>21</v>
      </c>
      <c r="E11" s="91" t="s">
        <v>22</v>
      </c>
      <c r="F11" s="92">
        <v>171</v>
      </c>
    </row>
    <row r="12" spans="2:15">
      <c r="B12" s="90" t="s">
        <v>17</v>
      </c>
      <c r="C12" s="91" t="s">
        <v>18</v>
      </c>
      <c r="D12" s="91" t="s">
        <v>19</v>
      </c>
      <c r="E12" s="91" t="s">
        <v>20</v>
      </c>
      <c r="F12" s="92">
        <v>762</v>
      </c>
    </row>
    <row r="13" spans="2:15">
      <c r="B13" s="90" t="s">
        <v>17</v>
      </c>
      <c r="C13" s="91" t="s">
        <v>18</v>
      </c>
      <c r="D13" s="91" t="s">
        <v>128</v>
      </c>
      <c r="E13" s="91" t="s">
        <v>250</v>
      </c>
      <c r="F13" s="92">
        <v>20</v>
      </c>
    </row>
    <row r="14" spans="2:15">
      <c r="B14" s="90" t="s">
        <v>17</v>
      </c>
      <c r="C14" s="91" t="s">
        <v>18</v>
      </c>
      <c r="D14" s="91" t="s">
        <v>221</v>
      </c>
      <c r="E14" s="91" t="s">
        <v>230</v>
      </c>
      <c r="F14" s="92">
        <v>255</v>
      </c>
    </row>
    <row r="15" spans="2:15">
      <c r="B15" s="90" t="s">
        <v>17</v>
      </c>
      <c r="C15" s="91" t="s">
        <v>6</v>
      </c>
      <c r="D15" s="91" t="s">
        <v>23</v>
      </c>
      <c r="E15" s="91" t="s">
        <v>24</v>
      </c>
      <c r="F15" s="92">
        <v>11</v>
      </c>
    </row>
    <row r="16" spans="2:15">
      <c r="B16" s="90" t="s">
        <v>17</v>
      </c>
      <c r="C16" s="91" t="s">
        <v>6</v>
      </c>
      <c r="D16" s="91" t="s">
        <v>25</v>
      </c>
      <c r="E16" s="91" t="s">
        <v>26</v>
      </c>
      <c r="F16" s="92">
        <v>20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92">
        <v>78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159</v>
      </c>
    </row>
    <row r="19" spans="2:13" ht="17" thickBot="1">
      <c r="B19" s="93" t="s">
        <v>17</v>
      </c>
      <c r="C19" s="94" t="s">
        <v>6</v>
      </c>
      <c r="D19" s="94" t="s">
        <v>253</v>
      </c>
      <c r="E19" s="94" t="s">
        <v>254</v>
      </c>
      <c r="F19" s="95">
        <v>50</v>
      </c>
    </row>
    <row r="20" spans="2:13">
      <c r="B20" s="102" t="s">
        <v>27</v>
      </c>
      <c r="C20" s="103" t="s">
        <v>18</v>
      </c>
      <c r="D20" s="103" t="s">
        <v>61</v>
      </c>
      <c r="E20" s="103" t="s">
        <v>62</v>
      </c>
      <c r="F20" s="104">
        <v>666</v>
      </c>
    </row>
    <row r="21" spans="2:13">
      <c r="B21" s="102" t="s">
        <v>27</v>
      </c>
      <c r="C21" s="103" t="s">
        <v>18</v>
      </c>
      <c r="D21" s="103" t="s">
        <v>30</v>
      </c>
      <c r="E21" s="103" t="s">
        <v>31</v>
      </c>
      <c r="F21" s="104">
        <v>364</v>
      </c>
      <c r="M21" t="s">
        <v>269</v>
      </c>
    </row>
    <row r="22" spans="2:13">
      <c r="B22" s="102" t="s">
        <v>27</v>
      </c>
      <c r="C22" s="103" t="s">
        <v>18</v>
      </c>
      <c r="D22" s="103" t="s">
        <v>69</v>
      </c>
      <c r="E22" s="103" t="s">
        <v>39</v>
      </c>
      <c r="F22" s="104">
        <v>2562</v>
      </c>
    </row>
    <row r="23" spans="2:13">
      <c r="B23" s="102" t="s">
        <v>27</v>
      </c>
      <c r="C23" s="103" t="s">
        <v>18</v>
      </c>
      <c r="D23" s="103" t="s">
        <v>32</v>
      </c>
      <c r="E23" s="103" t="s">
        <v>33</v>
      </c>
      <c r="F23" s="104">
        <v>168</v>
      </c>
    </row>
    <row r="24" spans="2:13">
      <c r="B24" s="102" t="s">
        <v>27</v>
      </c>
      <c r="C24" s="103" t="s">
        <v>18</v>
      </c>
      <c r="D24" s="103" t="s">
        <v>34</v>
      </c>
      <c r="E24" s="103" t="s">
        <v>35</v>
      </c>
      <c r="F24" s="104">
        <v>1</v>
      </c>
    </row>
    <row r="25" spans="2:13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16</v>
      </c>
    </row>
    <row r="26" spans="2:13">
      <c r="B26" s="102" t="s">
        <v>27</v>
      </c>
      <c r="C26" s="103" t="s">
        <v>18</v>
      </c>
      <c r="D26" s="103" t="s">
        <v>63</v>
      </c>
      <c r="E26" s="103" t="s">
        <v>64</v>
      </c>
      <c r="F26" s="104">
        <v>48</v>
      </c>
    </row>
    <row r="27" spans="2:13">
      <c r="B27" s="102" t="s">
        <v>27</v>
      </c>
      <c r="C27" s="103" t="s">
        <v>18</v>
      </c>
      <c r="D27" s="103" t="s">
        <v>244</v>
      </c>
      <c r="E27" s="103" t="s">
        <v>245</v>
      </c>
      <c r="F27" s="104">
        <v>1547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263</v>
      </c>
    </row>
    <row r="29" spans="2:13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109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104">
        <v>10</v>
      </c>
    </row>
    <row r="31" spans="2:13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224</v>
      </c>
    </row>
    <row r="32" spans="2:13" ht="17" thickBot="1">
      <c r="B32" s="105" t="s">
        <v>27</v>
      </c>
      <c r="C32" s="106" t="s">
        <v>6</v>
      </c>
      <c r="D32" s="106" t="s">
        <v>262</v>
      </c>
      <c r="E32" s="106" t="s">
        <v>263</v>
      </c>
      <c r="F32" s="107">
        <v>111</v>
      </c>
      <c r="H32" s="194" t="s">
        <v>267</v>
      </c>
      <c r="I32" s="194" t="s">
        <v>268</v>
      </c>
    </row>
    <row r="33" spans="2:13">
      <c r="B33" s="122" t="s">
        <v>40</v>
      </c>
      <c r="C33" s="118" t="s">
        <v>18</v>
      </c>
      <c r="D33" s="118" t="s">
        <v>71</v>
      </c>
      <c r="E33" s="118" t="s">
        <v>125</v>
      </c>
      <c r="F33" s="123">
        <v>57</v>
      </c>
      <c r="G33" s="142" t="s">
        <v>266</v>
      </c>
      <c r="H33">
        <v>57</v>
      </c>
      <c r="I33" s="195">
        <f>F33-H33</f>
        <v>0</v>
      </c>
    </row>
    <row r="34" spans="2:13">
      <c r="B34" s="122" t="s">
        <v>40</v>
      </c>
      <c r="C34" s="118" t="s">
        <v>18</v>
      </c>
      <c r="D34" s="118" t="s">
        <v>49</v>
      </c>
      <c r="E34" s="118" t="s">
        <v>50</v>
      </c>
      <c r="F34" s="123">
        <v>9</v>
      </c>
      <c r="G34" s="142" t="s">
        <v>266</v>
      </c>
      <c r="H34">
        <v>9</v>
      </c>
      <c r="I34" s="195">
        <f t="shared" ref="I34:I46" si="0">F34-H34</f>
        <v>0</v>
      </c>
    </row>
    <row r="35" spans="2:13">
      <c r="B35" s="122" t="s">
        <v>40</v>
      </c>
      <c r="C35" s="118" t="s">
        <v>18</v>
      </c>
      <c r="D35" s="118" t="s">
        <v>257</v>
      </c>
      <c r="E35" s="118" t="s">
        <v>258</v>
      </c>
      <c r="F35" s="123">
        <v>33</v>
      </c>
      <c r="G35" s="142" t="s">
        <v>266</v>
      </c>
      <c r="H35">
        <v>33</v>
      </c>
      <c r="I35" s="195">
        <f t="shared" si="0"/>
        <v>0</v>
      </c>
    </row>
    <row r="36" spans="2:13">
      <c r="B36" s="122" t="s">
        <v>40</v>
      </c>
      <c r="C36" s="118" t="s">
        <v>6</v>
      </c>
      <c r="D36" s="118" t="s">
        <v>45</v>
      </c>
      <c r="E36" s="118" t="s">
        <v>46</v>
      </c>
      <c r="F36" s="123">
        <v>70</v>
      </c>
      <c r="G36" s="142" t="s">
        <v>266</v>
      </c>
      <c r="H36">
        <v>70</v>
      </c>
      <c r="I36" s="195">
        <f t="shared" si="0"/>
        <v>0</v>
      </c>
    </row>
    <row r="37" spans="2:13">
      <c r="B37" s="122" t="s">
        <v>40</v>
      </c>
      <c r="C37" s="118" t="s">
        <v>6</v>
      </c>
      <c r="D37" s="118" t="s">
        <v>47</v>
      </c>
      <c r="E37" s="118" t="s">
        <v>48</v>
      </c>
      <c r="F37" s="123">
        <v>706</v>
      </c>
      <c r="G37" s="142" t="s">
        <v>261</v>
      </c>
      <c r="H37">
        <v>706</v>
      </c>
      <c r="I37" s="195">
        <f t="shared" si="0"/>
        <v>0</v>
      </c>
      <c r="M37">
        <f>190-300</f>
        <v>-110</v>
      </c>
    </row>
    <row r="38" spans="2:13">
      <c r="B38" s="122" t="s">
        <v>40</v>
      </c>
      <c r="C38" s="118" t="s">
        <v>6</v>
      </c>
      <c r="D38" s="118" t="s">
        <v>11</v>
      </c>
      <c r="E38" s="118" t="s">
        <v>122</v>
      </c>
      <c r="F38" s="123">
        <v>197</v>
      </c>
      <c r="G38" s="142" t="s">
        <v>266</v>
      </c>
      <c r="H38">
        <v>197</v>
      </c>
      <c r="I38" s="195">
        <f t="shared" si="0"/>
        <v>0</v>
      </c>
      <c r="M38">
        <f>-450+158</f>
        <v>-292</v>
      </c>
    </row>
    <row r="39" spans="2:13">
      <c r="B39" s="122" t="s">
        <v>40</v>
      </c>
      <c r="C39" s="118" t="s">
        <v>6</v>
      </c>
      <c r="D39" s="118" t="s">
        <v>65</v>
      </c>
      <c r="E39" s="118" t="s">
        <v>66</v>
      </c>
      <c r="F39" s="123">
        <v>57</v>
      </c>
      <c r="G39" s="142" t="s">
        <v>266</v>
      </c>
      <c r="H39">
        <v>57</v>
      </c>
      <c r="I39" s="195">
        <f t="shared" si="0"/>
        <v>0</v>
      </c>
    </row>
    <row r="40" spans="2:13">
      <c r="B40" s="122" t="s">
        <v>40</v>
      </c>
      <c r="C40" s="118" t="s">
        <v>6</v>
      </c>
      <c r="D40" s="118" t="s">
        <v>130</v>
      </c>
      <c r="E40" s="118" t="s">
        <v>131</v>
      </c>
      <c r="F40" s="123">
        <v>940</v>
      </c>
      <c r="G40" s="142" t="s">
        <v>266</v>
      </c>
      <c r="H40">
        <v>940</v>
      </c>
      <c r="I40" s="195">
        <f t="shared" si="0"/>
        <v>0</v>
      </c>
    </row>
    <row r="41" spans="2:13">
      <c r="B41" s="122" t="s">
        <v>40</v>
      </c>
      <c r="C41" s="118" t="s">
        <v>6</v>
      </c>
      <c r="D41" s="118" t="s">
        <v>126</v>
      </c>
      <c r="E41" s="118" t="s">
        <v>127</v>
      </c>
      <c r="F41" s="123">
        <v>1364.4</v>
      </c>
      <c r="G41" s="142" t="s">
        <v>266</v>
      </c>
      <c r="H41">
        <v>1364.4</v>
      </c>
      <c r="I41" s="195">
        <f t="shared" si="0"/>
        <v>0</v>
      </c>
    </row>
    <row r="42" spans="2:13">
      <c r="B42" s="122" t="s">
        <v>40</v>
      </c>
      <c r="C42" s="118" t="s">
        <v>6</v>
      </c>
      <c r="D42" s="118" t="s">
        <v>132</v>
      </c>
      <c r="E42" s="118" t="s">
        <v>133</v>
      </c>
      <c r="F42" s="123">
        <v>741</v>
      </c>
      <c r="G42" s="142" t="s">
        <v>266</v>
      </c>
      <c r="H42">
        <v>741</v>
      </c>
      <c r="I42" s="195">
        <f t="shared" si="0"/>
        <v>0</v>
      </c>
    </row>
    <row r="43" spans="2:13">
      <c r="B43" s="122" t="s">
        <v>40</v>
      </c>
      <c r="C43" s="118" t="s">
        <v>6</v>
      </c>
      <c r="D43" s="118" t="s">
        <v>222</v>
      </c>
      <c r="E43" s="118" t="s">
        <v>231</v>
      </c>
      <c r="F43" s="123">
        <v>190</v>
      </c>
      <c r="G43" s="142" t="s">
        <v>266</v>
      </c>
      <c r="H43">
        <v>190</v>
      </c>
      <c r="I43" s="195">
        <f t="shared" si="0"/>
        <v>0</v>
      </c>
    </row>
    <row r="44" spans="2:13">
      <c r="B44" s="122" t="s">
        <v>40</v>
      </c>
      <c r="C44" s="118" t="s">
        <v>6</v>
      </c>
      <c r="D44" s="118" t="s">
        <v>223</v>
      </c>
      <c r="E44" s="118" t="s">
        <v>232</v>
      </c>
      <c r="F44" s="123">
        <v>92</v>
      </c>
      <c r="G44" s="142" t="s">
        <v>266</v>
      </c>
      <c r="H44">
        <v>92</v>
      </c>
      <c r="I44" s="195">
        <f t="shared" si="0"/>
        <v>0</v>
      </c>
    </row>
    <row r="45" spans="2:13">
      <c r="B45" s="122" t="s">
        <v>40</v>
      </c>
      <c r="C45" s="118" t="s">
        <v>6</v>
      </c>
      <c r="D45" s="118" t="s">
        <v>255</v>
      </c>
      <c r="E45" s="118" t="s">
        <v>256</v>
      </c>
      <c r="F45" s="123">
        <v>437</v>
      </c>
      <c r="G45" s="142" t="s">
        <v>266</v>
      </c>
      <c r="H45">
        <v>437</v>
      </c>
      <c r="I45" s="195">
        <f t="shared" si="0"/>
        <v>0</v>
      </c>
    </row>
    <row r="46" spans="2:13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1012.5</v>
      </c>
      <c r="G46" s="142" t="s">
        <v>261</v>
      </c>
      <c r="H46">
        <v>1012.5</v>
      </c>
      <c r="I46" s="195">
        <f t="shared" si="0"/>
        <v>0</v>
      </c>
    </row>
    <row r="49" spans="12:12">
      <c r="L49">
        <f>SUM(I37:I46)</f>
        <v>0</v>
      </c>
    </row>
    <row r="70" spans="14:14" ht="51">
      <c r="N70" s="196" t="s">
        <v>269</v>
      </c>
    </row>
    <row r="78" spans="14:14">
      <c r="N78">
        <f>-700-50-250+500-700+500-750-600-250</f>
        <v>-2300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8A5F-3C98-D345-BA08-528606904ED0}">
  <dimension ref="B3:P44"/>
  <sheetViews>
    <sheetView showGridLines="0" topLeftCell="A9" zoomScale="90" zoomScaleNormal="90" workbookViewId="0">
      <selection activeCell="P49" sqref="P49"/>
    </sheetView>
  </sheetViews>
  <sheetFormatPr baseColWidth="10" defaultRowHeight="16"/>
  <cols>
    <col min="5" max="5" width="15.1640625" bestFit="1" customWidth="1"/>
    <col min="7" max="7" width="5.6640625" customWidth="1"/>
    <col min="8" max="8" width="12.6640625" customWidth="1"/>
  </cols>
  <sheetData>
    <row r="3" spans="2:16" ht="17" thickBot="1"/>
    <row r="4" spans="2:1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7" t="s">
        <v>264</v>
      </c>
      <c r="I4" s="142"/>
      <c r="J4" s="142"/>
      <c r="K4" s="142"/>
      <c r="L4" s="142"/>
      <c r="M4" s="142"/>
      <c r="N4" s="142"/>
      <c r="O4" s="142"/>
      <c r="P4" s="142"/>
    </row>
    <row r="5" spans="2:16">
      <c r="B5" s="127" t="s">
        <v>5</v>
      </c>
      <c r="C5" s="128" t="s">
        <v>6</v>
      </c>
      <c r="D5" s="128" t="s">
        <v>41</v>
      </c>
      <c r="E5" s="128" t="s">
        <v>115</v>
      </c>
      <c r="F5" s="129">
        <v>130</v>
      </c>
      <c r="H5" s="197" t="s">
        <v>270</v>
      </c>
      <c r="I5" s="142"/>
      <c r="J5" s="142"/>
      <c r="K5" s="142"/>
      <c r="L5" s="142"/>
      <c r="M5" s="142"/>
      <c r="N5" s="142"/>
      <c r="O5" s="142"/>
      <c r="P5" s="142"/>
    </row>
    <row r="6" spans="2:16">
      <c r="B6" s="137" t="s">
        <v>5</v>
      </c>
      <c r="C6" s="136" t="s">
        <v>6</v>
      </c>
      <c r="D6" s="136" t="s">
        <v>15</v>
      </c>
      <c r="E6" s="136" t="s">
        <v>124</v>
      </c>
      <c r="F6" s="138">
        <v>10</v>
      </c>
    </row>
    <row r="7" spans="2:16" ht="17" thickBot="1">
      <c r="B7" s="130" t="s">
        <v>5</v>
      </c>
      <c r="C7" s="131" t="s">
        <v>6</v>
      </c>
      <c r="D7" s="131" t="s">
        <v>228</v>
      </c>
      <c r="E7" s="131" t="s">
        <v>229</v>
      </c>
      <c r="F7" s="132">
        <v>120</v>
      </c>
    </row>
    <row r="8" spans="2:16">
      <c r="B8" s="109" t="s">
        <v>17</v>
      </c>
      <c r="C8" s="110" t="s">
        <v>18</v>
      </c>
      <c r="D8" s="110" t="s">
        <v>21</v>
      </c>
      <c r="E8" s="110" t="s">
        <v>22</v>
      </c>
      <c r="F8" s="111">
        <v>77</v>
      </c>
    </row>
    <row r="9" spans="2:16">
      <c r="B9" s="90" t="s">
        <v>17</v>
      </c>
      <c r="C9" s="91" t="s">
        <v>18</v>
      </c>
      <c r="D9" s="91" t="s">
        <v>19</v>
      </c>
      <c r="E9" s="91" t="s">
        <v>20</v>
      </c>
      <c r="F9" s="92">
        <v>3</v>
      </c>
    </row>
    <row r="10" spans="2:16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182</v>
      </c>
    </row>
    <row r="11" spans="2:16">
      <c r="B11" s="90" t="s">
        <v>17</v>
      </c>
      <c r="C11" s="91" t="s">
        <v>18</v>
      </c>
      <c r="D11" s="91" t="s">
        <v>109</v>
      </c>
      <c r="E11" s="91" t="s">
        <v>110</v>
      </c>
      <c r="F11" s="92">
        <v>0</v>
      </c>
    </row>
    <row r="12" spans="2:1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4</v>
      </c>
    </row>
    <row r="13" spans="2:16">
      <c r="B13" s="90" t="s">
        <v>17</v>
      </c>
      <c r="C13" s="91" t="s">
        <v>6</v>
      </c>
      <c r="D13" s="91" t="s">
        <v>23</v>
      </c>
      <c r="E13" s="91" t="s">
        <v>24</v>
      </c>
      <c r="F13" s="92">
        <v>292</v>
      </c>
    </row>
    <row r="14" spans="2:16">
      <c r="B14" s="90" t="s">
        <v>17</v>
      </c>
      <c r="C14" s="91" t="s">
        <v>6</v>
      </c>
      <c r="D14" s="91" t="s">
        <v>25</v>
      </c>
      <c r="E14" s="91" t="s">
        <v>26</v>
      </c>
      <c r="F14" s="92">
        <v>70</v>
      </c>
    </row>
    <row r="15" spans="2:1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79</v>
      </c>
    </row>
    <row r="16" spans="2:1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256</v>
      </c>
    </row>
    <row r="17" spans="2:16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81</v>
      </c>
    </row>
    <row r="18" spans="2:16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106</v>
      </c>
    </row>
    <row r="19" spans="2:16">
      <c r="B19" s="99" t="s">
        <v>27</v>
      </c>
      <c r="C19" s="100" t="s">
        <v>18</v>
      </c>
      <c r="D19" s="100" t="s">
        <v>30</v>
      </c>
      <c r="E19" s="100" t="s">
        <v>31</v>
      </c>
      <c r="F19" s="101">
        <v>146</v>
      </c>
    </row>
    <row r="20" spans="2:1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0</v>
      </c>
      <c r="O20" s="198">
        <f>3237/5208</f>
        <v>0.62154377880184331</v>
      </c>
    </row>
    <row r="21" spans="2:1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87</v>
      </c>
    </row>
    <row r="22" spans="2:16">
      <c r="B22" s="102" t="s">
        <v>27</v>
      </c>
      <c r="C22" s="103" t="s">
        <v>6</v>
      </c>
      <c r="D22" s="103" t="s">
        <v>69</v>
      </c>
      <c r="E22" s="103" t="s">
        <v>39</v>
      </c>
      <c r="F22" s="104">
        <v>1269.9000000000001</v>
      </c>
    </row>
    <row r="23" spans="2:16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908</v>
      </c>
    </row>
    <row r="24" spans="2:16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80</v>
      </c>
    </row>
    <row r="25" spans="2:16">
      <c r="B25" s="102" t="s">
        <v>27</v>
      </c>
      <c r="C25" s="103" t="s">
        <v>6</v>
      </c>
      <c r="D25" s="103" t="s">
        <v>9</v>
      </c>
      <c r="E25" s="103" t="s">
        <v>105</v>
      </c>
      <c r="F25" s="104">
        <v>171</v>
      </c>
    </row>
    <row r="26" spans="2:1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90</v>
      </c>
    </row>
    <row r="27" spans="2:16">
      <c r="B27" s="102" t="s">
        <v>27</v>
      </c>
      <c r="C27" s="103" t="s">
        <v>6</v>
      </c>
      <c r="D27" s="103" t="s">
        <v>36</v>
      </c>
      <c r="E27" s="103" t="s">
        <v>37</v>
      </c>
      <c r="F27" s="104">
        <v>208</v>
      </c>
    </row>
    <row r="28" spans="2:16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315</v>
      </c>
      <c r="K28" t="s">
        <v>274</v>
      </c>
      <c r="P28">
        <f>1481/5208</f>
        <v>0.28437019969278032</v>
      </c>
    </row>
    <row r="29" spans="2:16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25</v>
      </c>
      <c r="K29">
        <f>SUM(I31:I44)</f>
        <v>1671.1</v>
      </c>
    </row>
    <row r="30" spans="2:16" ht="17" thickBot="1">
      <c r="B30" s="105" t="s">
        <v>27</v>
      </c>
      <c r="C30" s="106" t="s">
        <v>6</v>
      </c>
      <c r="D30" s="106" t="s">
        <v>244</v>
      </c>
      <c r="E30" s="106" t="s">
        <v>245</v>
      </c>
      <c r="F30" s="107">
        <v>1083.5999999999999</v>
      </c>
      <c r="G30" s="194" t="s">
        <v>273</v>
      </c>
      <c r="H30" s="194" t="s">
        <v>271</v>
      </c>
      <c r="I30" s="194" t="s">
        <v>272</v>
      </c>
    </row>
    <row r="31" spans="2:16">
      <c r="B31" s="133" t="s">
        <v>40</v>
      </c>
      <c r="C31" s="134" t="s">
        <v>18</v>
      </c>
      <c r="D31" s="134" t="s">
        <v>113</v>
      </c>
      <c r="E31" s="134" t="s">
        <v>114</v>
      </c>
      <c r="F31" s="135">
        <v>138</v>
      </c>
      <c r="G31" s="142" t="s">
        <v>266</v>
      </c>
      <c r="H31">
        <v>138</v>
      </c>
      <c r="I31">
        <f>IF(C31="Pay",H31-F31,F31-H31)</f>
        <v>0</v>
      </c>
    </row>
    <row r="32" spans="2:16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351</v>
      </c>
      <c r="G32" s="142" t="s">
        <v>266</v>
      </c>
      <c r="H32">
        <v>351</v>
      </c>
      <c r="I32">
        <f t="shared" ref="I32:I44" si="0">IF(C32="Pay",H32-F32,F32-H32)</f>
        <v>0</v>
      </c>
    </row>
    <row r="33" spans="2:14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257</v>
      </c>
      <c r="G33" s="142" t="s">
        <v>266</v>
      </c>
      <c r="H33">
        <v>257</v>
      </c>
      <c r="I33">
        <f t="shared" si="0"/>
        <v>0</v>
      </c>
    </row>
    <row r="34" spans="2:14">
      <c r="B34" s="122" t="s">
        <v>40</v>
      </c>
      <c r="C34" s="118" t="s">
        <v>6</v>
      </c>
      <c r="D34" s="118" t="s">
        <v>45</v>
      </c>
      <c r="E34" s="118" t="s">
        <v>46</v>
      </c>
      <c r="F34" s="123">
        <v>446</v>
      </c>
      <c r="G34" s="142" t="s">
        <v>266</v>
      </c>
      <c r="H34">
        <v>446</v>
      </c>
      <c r="I34">
        <f t="shared" si="0"/>
        <v>0</v>
      </c>
    </row>
    <row r="35" spans="2:14">
      <c r="B35" s="122" t="s">
        <v>40</v>
      </c>
      <c r="C35" s="118" t="s">
        <v>6</v>
      </c>
      <c r="D35" s="118" t="s">
        <v>47</v>
      </c>
      <c r="E35" s="118" t="s">
        <v>48</v>
      </c>
      <c r="F35" s="123">
        <v>837</v>
      </c>
      <c r="G35" s="142" t="s">
        <v>261</v>
      </c>
      <c r="H35">
        <v>300</v>
      </c>
      <c r="I35">
        <f t="shared" si="0"/>
        <v>537</v>
      </c>
    </row>
    <row r="36" spans="2:14">
      <c r="B36" s="122" t="s">
        <v>40</v>
      </c>
      <c r="C36" s="118" t="s">
        <v>6</v>
      </c>
      <c r="D36" s="118" t="s">
        <v>71</v>
      </c>
      <c r="E36" s="118" t="s">
        <v>125</v>
      </c>
      <c r="F36" s="123">
        <v>500</v>
      </c>
      <c r="G36" s="142" t="s">
        <v>261</v>
      </c>
      <c r="H36">
        <v>500</v>
      </c>
      <c r="I36">
        <f t="shared" si="0"/>
        <v>0</v>
      </c>
    </row>
    <row r="37" spans="2:14">
      <c r="B37" s="122" t="s">
        <v>40</v>
      </c>
      <c r="C37" s="118" t="s">
        <v>6</v>
      </c>
      <c r="D37" s="118" t="s">
        <v>65</v>
      </c>
      <c r="E37" s="118" t="s">
        <v>66</v>
      </c>
      <c r="F37" s="123">
        <v>81</v>
      </c>
      <c r="G37" s="142" t="s">
        <v>266</v>
      </c>
      <c r="H37">
        <v>81</v>
      </c>
      <c r="I37">
        <f t="shared" si="0"/>
        <v>0</v>
      </c>
    </row>
    <row r="38" spans="2:14">
      <c r="B38" s="122" t="s">
        <v>40</v>
      </c>
      <c r="C38" s="118" t="s">
        <v>6</v>
      </c>
      <c r="D38" s="118" t="s">
        <v>49</v>
      </c>
      <c r="E38" s="118" t="s">
        <v>50</v>
      </c>
      <c r="F38" s="123">
        <v>1000</v>
      </c>
      <c r="G38" s="142" t="s">
        <v>261</v>
      </c>
      <c r="H38">
        <v>1000</v>
      </c>
      <c r="I38">
        <f t="shared" si="0"/>
        <v>0</v>
      </c>
    </row>
    <row r="39" spans="2:14">
      <c r="B39" s="122" t="s">
        <v>40</v>
      </c>
      <c r="C39" s="118" t="s">
        <v>6</v>
      </c>
      <c r="D39" s="118" t="s">
        <v>130</v>
      </c>
      <c r="E39" s="118" t="s">
        <v>131</v>
      </c>
      <c r="F39" s="123">
        <v>598</v>
      </c>
      <c r="G39" s="142" t="s">
        <v>266</v>
      </c>
      <c r="H39">
        <v>598</v>
      </c>
      <c r="I39">
        <f t="shared" si="0"/>
        <v>0</v>
      </c>
    </row>
    <row r="40" spans="2:14">
      <c r="B40" s="122" t="s">
        <v>40</v>
      </c>
      <c r="C40" s="118" t="s">
        <v>6</v>
      </c>
      <c r="D40" s="118" t="s">
        <v>126</v>
      </c>
      <c r="E40" s="118" t="s">
        <v>127</v>
      </c>
      <c r="F40" s="123">
        <v>2853.9</v>
      </c>
      <c r="G40" s="142" t="s">
        <v>266</v>
      </c>
      <c r="H40">
        <v>2853.9</v>
      </c>
      <c r="I40">
        <f t="shared" si="0"/>
        <v>0</v>
      </c>
    </row>
    <row r="41" spans="2:14">
      <c r="B41" s="122" t="s">
        <v>40</v>
      </c>
      <c r="C41" s="118" t="s">
        <v>6</v>
      </c>
      <c r="D41" s="118" t="s">
        <v>132</v>
      </c>
      <c r="E41" s="118" t="s">
        <v>133</v>
      </c>
      <c r="F41" s="123">
        <v>378</v>
      </c>
      <c r="G41" s="142" t="s">
        <v>266</v>
      </c>
      <c r="H41">
        <v>378</v>
      </c>
      <c r="I41">
        <f t="shared" si="0"/>
        <v>0</v>
      </c>
    </row>
    <row r="42" spans="2:14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811</v>
      </c>
      <c r="G42" s="142" t="s">
        <v>266</v>
      </c>
      <c r="H42">
        <v>811</v>
      </c>
      <c r="I42">
        <f t="shared" si="0"/>
        <v>0</v>
      </c>
    </row>
    <row r="43" spans="2:14">
      <c r="B43" s="122" t="s">
        <v>40</v>
      </c>
      <c r="C43" s="118" t="s">
        <v>6</v>
      </c>
      <c r="D43" s="118" t="s">
        <v>255</v>
      </c>
      <c r="E43" s="118" t="s">
        <v>256</v>
      </c>
      <c r="F43" s="123">
        <v>914</v>
      </c>
      <c r="G43" s="142" t="s">
        <v>266</v>
      </c>
      <c r="H43">
        <v>914</v>
      </c>
      <c r="I43">
        <f t="shared" si="0"/>
        <v>0</v>
      </c>
      <c r="N43">
        <f>289+537</f>
        <v>826</v>
      </c>
    </row>
    <row r="44" spans="2:14" ht="17" thickBot="1">
      <c r="B44" s="124" t="s">
        <v>40</v>
      </c>
      <c r="C44" s="125" t="s">
        <v>6</v>
      </c>
      <c r="D44" s="125" t="s">
        <v>259</v>
      </c>
      <c r="E44" s="125" t="s">
        <v>260</v>
      </c>
      <c r="F44" s="126">
        <v>1502.1</v>
      </c>
      <c r="G44" s="142" t="s">
        <v>261</v>
      </c>
      <c r="H44">
        <v>368</v>
      </c>
      <c r="I44">
        <f t="shared" si="0"/>
        <v>1134.0999999999999</v>
      </c>
    </row>
  </sheetData>
  <conditionalFormatting sqref="G31:G44">
    <cfRule type="containsText" dxfId="0" priority="1" operator="containsText" text="c">
      <formula>NOT(ISERROR(SEARCH("c",G31)))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78B6-55AF-1342-B174-8FE61A53F9FC}">
  <dimension ref="B3:S49"/>
  <sheetViews>
    <sheetView showGridLines="0" topLeftCell="A15" workbookViewId="0">
      <selection activeCell="L47" sqref="L47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6</v>
      </c>
      <c r="D5" s="128" t="s">
        <v>41</v>
      </c>
      <c r="E5" s="128" t="s">
        <v>115</v>
      </c>
      <c r="F5" s="129">
        <v>596</v>
      </c>
    </row>
    <row r="6" spans="2:6" ht="17" thickBot="1">
      <c r="B6" s="130" t="s">
        <v>5</v>
      </c>
      <c r="C6" s="131" t="s">
        <v>6</v>
      </c>
      <c r="D6" s="131" t="s">
        <v>228</v>
      </c>
      <c r="E6" s="131" t="s">
        <v>229</v>
      </c>
      <c r="F6" s="132">
        <v>50</v>
      </c>
    </row>
    <row r="7" spans="2:6">
      <c r="B7" s="109" t="s">
        <v>17</v>
      </c>
      <c r="C7" s="110" t="s">
        <v>18</v>
      </c>
      <c r="D7" s="110" t="s">
        <v>55</v>
      </c>
      <c r="E7" s="110" t="s">
        <v>56</v>
      </c>
      <c r="F7" s="111">
        <v>0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21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16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393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70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49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35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18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32</v>
      </c>
    </row>
    <row r="17" spans="2:1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311</v>
      </c>
    </row>
    <row r="18" spans="2:1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170</v>
      </c>
    </row>
    <row r="19" spans="2:1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0</v>
      </c>
    </row>
    <row r="20" spans="2:16">
      <c r="B20" s="102" t="s">
        <v>27</v>
      </c>
      <c r="C20" s="103" t="s">
        <v>18</v>
      </c>
      <c r="D20" s="103" t="s">
        <v>244</v>
      </c>
      <c r="E20" s="103" t="s">
        <v>245</v>
      </c>
      <c r="F20" s="104">
        <v>1891</v>
      </c>
    </row>
    <row r="21" spans="2:1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1017</v>
      </c>
    </row>
    <row r="22" spans="2:16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275</v>
      </c>
    </row>
    <row r="23" spans="2:16">
      <c r="B23" s="102" t="s">
        <v>27</v>
      </c>
      <c r="C23" s="103" t="s">
        <v>6</v>
      </c>
      <c r="D23" s="103" t="s">
        <v>69</v>
      </c>
      <c r="E23" s="103" t="s">
        <v>39</v>
      </c>
      <c r="F23" s="104">
        <v>2925</v>
      </c>
    </row>
    <row r="24" spans="2:1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534</v>
      </c>
    </row>
    <row r="25" spans="2:1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210</v>
      </c>
      <c r="L25" t="s">
        <v>442</v>
      </c>
    </row>
    <row r="26" spans="2:1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83</v>
      </c>
      <c r="I26" s="194" t="s">
        <v>272</v>
      </c>
      <c r="L26">
        <f>SUM(I31:I40)+'10.25.2021'!K29</f>
        <v>3265.1</v>
      </c>
    </row>
    <row r="27" spans="2:16">
      <c r="B27" s="133" t="s">
        <v>40</v>
      </c>
      <c r="C27" s="134" t="s">
        <v>18</v>
      </c>
      <c r="D27" s="134" t="s">
        <v>130</v>
      </c>
      <c r="E27" s="134" t="s">
        <v>131</v>
      </c>
      <c r="F27" s="135">
        <v>272</v>
      </c>
      <c r="G27" s="142" t="s">
        <v>266</v>
      </c>
      <c r="H27">
        <v>272</v>
      </c>
      <c r="I27">
        <f>IF(C27="Pay",H27-F27,F27-H27)</f>
        <v>0</v>
      </c>
    </row>
    <row r="28" spans="2:16">
      <c r="B28" s="122" t="s">
        <v>40</v>
      </c>
      <c r="C28" s="118" t="s">
        <v>18</v>
      </c>
      <c r="D28" s="118" t="s">
        <v>126</v>
      </c>
      <c r="E28" s="118" t="s">
        <v>127</v>
      </c>
      <c r="F28" s="123">
        <v>0</v>
      </c>
      <c r="G28" s="142" t="s">
        <v>266</v>
      </c>
      <c r="H28">
        <v>0</v>
      </c>
      <c r="I28">
        <f t="shared" ref="I28:I40" si="0">IF(C28="Pay",H28-F28,F28-H28)</f>
        <v>0</v>
      </c>
    </row>
    <row r="29" spans="2:1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18</v>
      </c>
      <c r="G29" s="142" t="s">
        <v>266</v>
      </c>
      <c r="H29">
        <v>18</v>
      </c>
      <c r="I29">
        <f t="shared" si="0"/>
        <v>0</v>
      </c>
    </row>
    <row r="30" spans="2:16">
      <c r="B30" s="122" t="s">
        <v>40</v>
      </c>
      <c r="C30" s="118" t="s">
        <v>18</v>
      </c>
      <c r="D30" s="118" t="s">
        <v>246</v>
      </c>
      <c r="E30" s="118" t="s">
        <v>247</v>
      </c>
      <c r="F30" s="123">
        <v>10</v>
      </c>
      <c r="G30" s="142" t="s">
        <v>266</v>
      </c>
      <c r="H30">
        <v>10</v>
      </c>
      <c r="I30">
        <f t="shared" si="0"/>
        <v>0</v>
      </c>
    </row>
    <row r="31" spans="2:16">
      <c r="B31" s="122" t="s">
        <v>40</v>
      </c>
      <c r="C31" s="118" t="s">
        <v>6</v>
      </c>
      <c r="D31" s="118" t="s">
        <v>45</v>
      </c>
      <c r="E31" s="118" t="s">
        <v>46</v>
      </c>
      <c r="F31" s="123">
        <v>146</v>
      </c>
      <c r="G31" s="142" t="s">
        <v>261</v>
      </c>
      <c r="H31">
        <v>146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113</v>
      </c>
      <c r="E32" s="118" t="s">
        <v>114</v>
      </c>
      <c r="F32" s="123">
        <v>21</v>
      </c>
      <c r="G32" s="142" t="s">
        <v>261</v>
      </c>
      <c r="H32">
        <v>21</v>
      </c>
      <c r="I32">
        <f t="shared" si="0"/>
        <v>0</v>
      </c>
      <c r="L32">
        <f>1620+2133</f>
        <v>3753</v>
      </c>
      <c r="P32">
        <v>12</v>
      </c>
    </row>
    <row r="33" spans="2:19">
      <c r="B33" s="122" t="s">
        <v>40</v>
      </c>
      <c r="C33" s="118" t="s">
        <v>6</v>
      </c>
      <c r="D33" s="118" t="s">
        <v>47</v>
      </c>
      <c r="E33" s="118" t="s">
        <v>48</v>
      </c>
      <c r="F33" s="123">
        <v>837</v>
      </c>
      <c r="G33" s="142" t="s">
        <v>261</v>
      </c>
      <c r="H33">
        <v>548</v>
      </c>
      <c r="I33">
        <f t="shared" si="0"/>
        <v>289</v>
      </c>
      <c r="P33">
        <v>240</v>
      </c>
    </row>
    <row r="34" spans="2:19">
      <c r="B34" s="122" t="s">
        <v>40</v>
      </c>
      <c r="C34" s="118" t="s">
        <v>6</v>
      </c>
      <c r="D34" s="118" t="s">
        <v>11</v>
      </c>
      <c r="E34" s="118" t="s">
        <v>122</v>
      </c>
      <c r="F34" s="123">
        <v>1350</v>
      </c>
      <c r="G34" s="142" t="s">
        <v>266</v>
      </c>
      <c r="H34">
        <v>1350</v>
      </c>
      <c r="I34">
        <f t="shared" si="0"/>
        <v>0</v>
      </c>
      <c r="P34">
        <v>135</v>
      </c>
    </row>
    <row r="35" spans="2:19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841</v>
      </c>
      <c r="G35" s="142" t="s">
        <v>266</v>
      </c>
      <c r="H35">
        <v>841</v>
      </c>
      <c r="I35">
        <f t="shared" si="0"/>
        <v>0</v>
      </c>
      <c r="P35">
        <v>10</v>
      </c>
    </row>
    <row r="36" spans="2:19">
      <c r="B36" s="122" t="s">
        <v>40</v>
      </c>
      <c r="C36" s="118" t="s">
        <v>6</v>
      </c>
      <c r="D36" s="118" t="s">
        <v>222</v>
      </c>
      <c r="E36" s="118" t="s">
        <v>231</v>
      </c>
      <c r="F36" s="123">
        <v>500</v>
      </c>
      <c r="G36" s="142" t="s">
        <v>266</v>
      </c>
      <c r="H36">
        <v>500</v>
      </c>
      <c r="I36">
        <f t="shared" si="0"/>
        <v>0</v>
      </c>
      <c r="P36">
        <v>18</v>
      </c>
    </row>
    <row r="37" spans="2:19">
      <c r="B37" s="122" t="s">
        <v>40</v>
      </c>
      <c r="C37" s="118" t="s">
        <v>6</v>
      </c>
      <c r="D37" s="118" t="s">
        <v>223</v>
      </c>
      <c r="E37" s="118" t="s">
        <v>232</v>
      </c>
      <c r="F37" s="123">
        <v>587</v>
      </c>
      <c r="G37" s="142" t="s">
        <v>266</v>
      </c>
      <c r="H37">
        <v>587</v>
      </c>
      <c r="I37">
        <f t="shared" si="0"/>
        <v>0</v>
      </c>
      <c r="P37">
        <v>20</v>
      </c>
    </row>
    <row r="38" spans="2:19">
      <c r="B38" s="122" t="s">
        <v>40</v>
      </c>
      <c r="C38" s="118" t="s">
        <v>6</v>
      </c>
      <c r="D38" s="118" t="s">
        <v>255</v>
      </c>
      <c r="E38" s="118" t="s">
        <v>256</v>
      </c>
      <c r="F38" s="123">
        <v>966</v>
      </c>
      <c r="G38" s="142" t="s">
        <v>266</v>
      </c>
      <c r="H38">
        <v>966</v>
      </c>
      <c r="I38">
        <f t="shared" si="0"/>
        <v>0</v>
      </c>
      <c r="P38">
        <v>275</v>
      </c>
    </row>
    <row r="39" spans="2:19">
      <c r="B39" s="122" t="s">
        <v>40</v>
      </c>
      <c r="C39" s="118" t="s">
        <v>6</v>
      </c>
      <c r="D39" s="118" t="s">
        <v>259</v>
      </c>
      <c r="E39" s="118" t="s">
        <v>260</v>
      </c>
      <c r="F39" s="123">
        <v>1305</v>
      </c>
      <c r="G39" s="142" t="s">
        <v>261</v>
      </c>
      <c r="I39">
        <f t="shared" si="0"/>
        <v>1305</v>
      </c>
      <c r="P39">
        <v>40</v>
      </c>
      <c r="S39">
        <f>SUM(P32:P39)</f>
        <v>750</v>
      </c>
    </row>
    <row r="40" spans="2:19" ht="17" thickBot="1">
      <c r="B40" s="124" t="s">
        <v>40</v>
      </c>
      <c r="C40" s="125" t="s">
        <v>6</v>
      </c>
      <c r="D40" s="125" t="s">
        <v>440</v>
      </c>
      <c r="E40" s="125" t="s">
        <v>441</v>
      </c>
      <c r="F40" s="126">
        <v>229</v>
      </c>
      <c r="G40" s="142" t="s">
        <v>266</v>
      </c>
      <c r="H40">
        <v>229</v>
      </c>
      <c r="I40">
        <f t="shared" si="0"/>
        <v>0</v>
      </c>
      <c r="P40">
        <v>427</v>
      </c>
    </row>
    <row r="41" spans="2:19">
      <c r="K41">
        <f>I33+'10.25.2021'!I35</f>
        <v>826</v>
      </c>
      <c r="P41">
        <v>427</v>
      </c>
    </row>
    <row r="42" spans="2:19">
      <c r="P42">
        <v>427</v>
      </c>
    </row>
    <row r="43" spans="2:19">
      <c r="P43">
        <v>2692</v>
      </c>
    </row>
    <row r="44" spans="2:19">
      <c r="P44">
        <v>21</v>
      </c>
    </row>
    <row r="45" spans="2:19">
      <c r="P45">
        <v>257</v>
      </c>
    </row>
    <row r="46" spans="2:19">
      <c r="L46">
        <f>K41+500</f>
        <v>1326</v>
      </c>
      <c r="P46">
        <v>138</v>
      </c>
    </row>
    <row r="49" spans="19:19">
      <c r="S49">
        <f>SUM(P32:P46)</f>
        <v>5139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7E8C-E631-5948-9E37-3339CFEF5B9C}">
  <dimension ref="B3:R36"/>
  <sheetViews>
    <sheetView showGridLines="0" topLeftCell="A12" workbookViewId="0">
      <selection activeCell="G36" sqref="G3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228</v>
      </c>
      <c r="E5" s="128" t="s">
        <v>229</v>
      </c>
      <c r="F5" s="129">
        <v>0</v>
      </c>
    </row>
    <row r="6" spans="2:6">
      <c r="B6" s="137" t="s">
        <v>5</v>
      </c>
      <c r="C6" s="136" t="s">
        <v>6</v>
      </c>
      <c r="D6" s="136" t="s">
        <v>41</v>
      </c>
      <c r="E6" s="136" t="s">
        <v>115</v>
      </c>
      <c r="F6" s="138">
        <v>401</v>
      </c>
    </row>
    <row r="7" spans="2:6">
      <c r="B7" s="137" t="s">
        <v>5</v>
      </c>
      <c r="C7" s="136" t="s">
        <v>6</v>
      </c>
      <c r="D7" s="136" t="s">
        <v>15</v>
      </c>
      <c r="E7" s="136" t="s">
        <v>124</v>
      </c>
      <c r="F7" s="138">
        <v>20</v>
      </c>
    </row>
    <row r="8" spans="2:6" ht="17" thickBot="1">
      <c r="B8" s="130" t="s">
        <v>5</v>
      </c>
      <c r="C8" s="131" t="s">
        <v>6</v>
      </c>
      <c r="D8" s="131" t="s">
        <v>226</v>
      </c>
      <c r="E8" s="131" t="s">
        <v>227</v>
      </c>
      <c r="F8" s="132">
        <v>104</v>
      </c>
    </row>
    <row r="9" spans="2:6">
      <c r="B9" s="87" t="s">
        <v>17</v>
      </c>
      <c r="C9" s="88" t="s">
        <v>18</v>
      </c>
      <c r="D9" s="88" t="s">
        <v>23</v>
      </c>
      <c r="E9" s="88" t="s">
        <v>24</v>
      </c>
      <c r="F9" s="89">
        <v>93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92">
        <v>7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136</v>
      </c>
    </row>
    <row r="14" spans="2:6">
      <c r="B14" s="90" t="s">
        <v>17</v>
      </c>
      <c r="C14" s="91" t="s">
        <v>6</v>
      </c>
      <c r="D14" s="91" t="s">
        <v>116</v>
      </c>
      <c r="E14" s="91" t="s">
        <v>117</v>
      </c>
      <c r="F14" s="92">
        <v>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106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377</v>
      </c>
    </row>
    <row r="17" spans="2:18">
      <c r="B17" s="90" t="s">
        <v>17</v>
      </c>
      <c r="C17" s="91" t="s">
        <v>6</v>
      </c>
      <c r="D17" s="91" t="s">
        <v>221</v>
      </c>
      <c r="E17" s="91" t="s">
        <v>230</v>
      </c>
      <c r="F17" s="92">
        <v>25</v>
      </c>
    </row>
    <row r="18" spans="2:18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25</v>
      </c>
    </row>
    <row r="19" spans="2:18">
      <c r="B19" s="99" t="s">
        <v>27</v>
      </c>
      <c r="C19" s="100" t="s">
        <v>18</v>
      </c>
      <c r="D19" s="100" t="s">
        <v>28</v>
      </c>
      <c r="E19" s="100" t="s">
        <v>29</v>
      </c>
      <c r="F19" s="101">
        <v>105</v>
      </c>
    </row>
    <row r="20" spans="2:18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170</v>
      </c>
    </row>
    <row r="21" spans="2:18">
      <c r="B21" s="102" t="s">
        <v>27</v>
      </c>
      <c r="C21" s="103" t="s">
        <v>18</v>
      </c>
      <c r="D21" s="103" t="s">
        <v>13</v>
      </c>
      <c r="E21" s="103" t="s">
        <v>119</v>
      </c>
      <c r="F21" s="104">
        <v>96</v>
      </c>
      <c r="R21">
        <f>SUM(O24:O30)</f>
        <v>4221</v>
      </c>
    </row>
    <row r="22" spans="2:18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42</v>
      </c>
    </row>
    <row r="23" spans="2:18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118</v>
      </c>
      <c r="L23" t="s">
        <v>442</v>
      </c>
    </row>
    <row r="24" spans="2:18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20</v>
      </c>
      <c r="L24">
        <f>SUM(I26:I36)+'11.1.2021'!L26</f>
        <v>3265.1</v>
      </c>
      <c r="O24">
        <v>2133</v>
      </c>
    </row>
    <row r="25" spans="2:18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460</v>
      </c>
      <c r="I25" s="194" t="s">
        <v>272</v>
      </c>
      <c r="O25">
        <v>1673</v>
      </c>
    </row>
    <row r="26" spans="2:18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30</v>
      </c>
      <c r="G26" s="142"/>
      <c r="H26">
        <v>30</v>
      </c>
      <c r="I26">
        <f>IF(C26="Pay",H26-F26,F26-H26)</f>
        <v>0</v>
      </c>
      <c r="O26">
        <v>12</v>
      </c>
    </row>
    <row r="27" spans="2:18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70</v>
      </c>
      <c r="G27" s="142"/>
      <c r="H27">
        <v>70</v>
      </c>
      <c r="I27">
        <f t="shared" ref="I27:I36" si="0">IF(C27="Pay",H27-F27,F27-H27)</f>
        <v>0</v>
      </c>
      <c r="O27">
        <v>240</v>
      </c>
    </row>
    <row r="28" spans="2:18">
      <c r="B28" s="122" t="s">
        <v>40</v>
      </c>
      <c r="C28" s="118" t="s">
        <v>18</v>
      </c>
      <c r="D28" s="118" t="s">
        <v>65</v>
      </c>
      <c r="E28" s="118" t="s">
        <v>66</v>
      </c>
      <c r="F28" s="123">
        <v>0</v>
      </c>
      <c r="G28" s="142"/>
      <c r="H28">
        <v>0</v>
      </c>
      <c r="I28">
        <f t="shared" si="0"/>
        <v>0</v>
      </c>
      <c r="O28">
        <v>135</v>
      </c>
      <c r="R28">
        <f>SUM(O24:O25)</f>
        <v>3806</v>
      </c>
    </row>
    <row r="29" spans="2:18">
      <c r="B29" s="122" t="s">
        <v>40</v>
      </c>
      <c r="C29" s="118" t="s">
        <v>18</v>
      </c>
      <c r="D29" s="118" t="s">
        <v>222</v>
      </c>
      <c r="E29" s="118" t="s">
        <v>231</v>
      </c>
      <c r="F29" s="123">
        <v>529</v>
      </c>
      <c r="G29" s="142"/>
      <c r="H29">
        <v>529</v>
      </c>
      <c r="I29">
        <f t="shared" si="0"/>
        <v>0</v>
      </c>
      <c r="O29">
        <v>10</v>
      </c>
    </row>
    <row r="30" spans="2:18">
      <c r="B30" s="122" t="s">
        <v>40</v>
      </c>
      <c r="C30" s="118" t="s">
        <v>18</v>
      </c>
      <c r="D30" s="118" t="s">
        <v>223</v>
      </c>
      <c r="E30" s="118" t="s">
        <v>232</v>
      </c>
      <c r="F30" s="123">
        <v>130</v>
      </c>
      <c r="G30" s="142"/>
      <c r="H30">
        <v>130</v>
      </c>
      <c r="I30">
        <f t="shared" si="0"/>
        <v>0</v>
      </c>
      <c r="O30">
        <v>18</v>
      </c>
    </row>
    <row r="31" spans="2:18">
      <c r="B31" s="122" t="s">
        <v>40</v>
      </c>
      <c r="C31" s="118" t="s">
        <v>18</v>
      </c>
      <c r="D31" s="118" t="s">
        <v>255</v>
      </c>
      <c r="E31" s="118" t="s">
        <v>256</v>
      </c>
      <c r="F31" s="123">
        <v>1066</v>
      </c>
      <c r="G31" s="142"/>
      <c r="H31">
        <v>1066</v>
      </c>
      <c r="I31">
        <f t="shared" si="0"/>
        <v>0</v>
      </c>
    </row>
    <row r="32" spans="2:18">
      <c r="B32" s="122" t="s">
        <v>40</v>
      </c>
      <c r="C32" s="118" t="s">
        <v>18</v>
      </c>
      <c r="D32" s="118" t="s">
        <v>440</v>
      </c>
      <c r="E32" s="118" t="s">
        <v>441</v>
      </c>
      <c r="F32" s="123">
        <v>193</v>
      </c>
      <c r="G32" s="142"/>
      <c r="H32">
        <v>193</v>
      </c>
      <c r="I32">
        <f t="shared" si="0"/>
        <v>0</v>
      </c>
    </row>
    <row r="33" spans="2:13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</v>
      </c>
      <c r="G33" s="142"/>
      <c r="H33">
        <v>5</v>
      </c>
      <c r="I33">
        <f t="shared" si="0"/>
        <v>0</v>
      </c>
      <c r="M33">
        <f>SUM(I26:I32)</f>
        <v>0</v>
      </c>
    </row>
    <row r="34" spans="2:13">
      <c r="B34" s="122" t="s">
        <v>40</v>
      </c>
      <c r="C34" s="118" t="s">
        <v>6</v>
      </c>
      <c r="D34" s="118" t="s">
        <v>126</v>
      </c>
      <c r="E34" s="118" t="s">
        <v>127</v>
      </c>
      <c r="F34" s="123">
        <v>2699.1</v>
      </c>
      <c r="G34" s="142" t="s">
        <v>266</v>
      </c>
      <c r="H34">
        <v>2699.1</v>
      </c>
      <c r="I34">
        <f t="shared" si="0"/>
        <v>0</v>
      </c>
    </row>
    <row r="35" spans="2:13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94</v>
      </c>
      <c r="G35" s="142" t="s">
        <v>266</v>
      </c>
      <c r="H35">
        <v>94</v>
      </c>
      <c r="I35">
        <f t="shared" si="0"/>
        <v>0</v>
      </c>
    </row>
    <row r="36" spans="2:13" ht="17" thickBot="1">
      <c r="B36" s="124" t="s">
        <v>40</v>
      </c>
      <c r="C36" s="125" t="s">
        <v>6</v>
      </c>
      <c r="D36" s="125" t="s">
        <v>257</v>
      </c>
      <c r="E36" s="125" t="s">
        <v>258</v>
      </c>
      <c r="F36" s="126">
        <v>26</v>
      </c>
      <c r="G36" s="142" t="s">
        <v>266</v>
      </c>
      <c r="H36">
        <v>26</v>
      </c>
      <c r="I36">
        <f t="shared" si="0"/>
        <v>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45FD-48AF-014C-94CC-88769ABB7CCC}">
  <dimension ref="B3:M34"/>
  <sheetViews>
    <sheetView showGridLines="0" topLeftCell="A4" workbookViewId="0">
      <selection activeCell="O29" sqref="O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6</v>
      </c>
      <c r="D5" s="128" t="s">
        <v>15</v>
      </c>
      <c r="E5" s="128" t="s">
        <v>124</v>
      </c>
      <c r="F5" s="129">
        <v>46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126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150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323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92">
        <v>115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466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170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253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92">
        <v>31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241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103</v>
      </c>
    </row>
    <row r="17" spans="2:13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</v>
      </c>
    </row>
    <row r="18" spans="2:13">
      <c r="B18" s="99" t="s">
        <v>27</v>
      </c>
      <c r="C18" s="100" t="s">
        <v>18</v>
      </c>
      <c r="D18" s="100" t="s">
        <v>32</v>
      </c>
      <c r="E18" s="100" t="s">
        <v>33</v>
      </c>
      <c r="F18" s="101">
        <v>15</v>
      </c>
    </row>
    <row r="19" spans="2:13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50</v>
      </c>
    </row>
    <row r="20" spans="2:13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150</v>
      </c>
    </row>
    <row r="21" spans="2:13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342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170</v>
      </c>
      <c r="M22" t="s">
        <v>442</v>
      </c>
    </row>
    <row r="23" spans="2:13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91</v>
      </c>
      <c r="M23">
        <f>SUM(I28:I34)+'11.8.2021'!L24</f>
        <v>4015.1</v>
      </c>
    </row>
    <row r="24" spans="2:13" ht="17" thickBot="1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50</v>
      </c>
      <c r="I24" s="194" t="s">
        <v>272</v>
      </c>
    </row>
    <row r="25" spans="2:13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342</v>
      </c>
      <c r="H25">
        <v>342</v>
      </c>
      <c r="I25">
        <f>IF(C25="Pay",H25-F25,F25-H25)</f>
        <v>0</v>
      </c>
    </row>
    <row r="26" spans="2:13">
      <c r="B26" s="122" t="s">
        <v>40</v>
      </c>
      <c r="C26" s="118" t="s">
        <v>18</v>
      </c>
      <c r="D26" s="118" t="s">
        <v>11</v>
      </c>
      <c r="E26" s="118" t="s">
        <v>122</v>
      </c>
      <c r="F26" s="123">
        <v>905</v>
      </c>
      <c r="H26">
        <v>905</v>
      </c>
      <c r="I26">
        <f t="shared" ref="I26:I34" si="0">IF(C26="Pay",H26-F26,F26-H26)</f>
        <v>0</v>
      </c>
    </row>
    <row r="27" spans="2:13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827</v>
      </c>
      <c r="H27">
        <v>827</v>
      </c>
      <c r="I27">
        <f t="shared" si="0"/>
        <v>0</v>
      </c>
    </row>
    <row r="28" spans="2:13">
      <c r="B28" s="122" t="s">
        <v>40</v>
      </c>
      <c r="C28" s="118" t="s">
        <v>6</v>
      </c>
      <c r="D28" s="118" t="s">
        <v>65</v>
      </c>
      <c r="E28" s="118" t="s">
        <v>66</v>
      </c>
      <c r="F28" s="123">
        <v>48</v>
      </c>
      <c r="G28" s="142" t="s">
        <v>261</v>
      </c>
      <c r="H28">
        <v>48</v>
      </c>
      <c r="I28">
        <f t="shared" si="0"/>
        <v>0</v>
      </c>
    </row>
    <row r="29" spans="2:13">
      <c r="B29" s="122" t="s">
        <v>40</v>
      </c>
      <c r="C29" s="118" t="s">
        <v>6</v>
      </c>
      <c r="D29" s="118" t="s">
        <v>130</v>
      </c>
      <c r="E29" s="118" t="s">
        <v>131</v>
      </c>
      <c r="F29" s="123">
        <v>293</v>
      </c>
      <c r="G29" s="142" t="s">
        <v>261</v>
      </c>
      <c r="H29">
        <v>293</v>
      </c>
      <c r="I29">
        <f t="shared" si="0"/>
        <v>0</v>
      </c>
    </row>
    <row r="30" spans="2:13">
      <c r="B30" s="122" t="s">
        <v>40</v>
      </c>
      <c r="C30" s="118" t="s">
        <v>6</v>
      </c>
      <c r="D30" s="118" t="s">
        <v>132</v>
      </c>
      <c r="E30" s="118" t="s">
        <v>133</v>
      </c>
      <c r="F30" s="123">
        <v>750</v>
      </c>
      <c r="G30" s="142" t="s">
        <v>261</v>
      </c>
      <c r="H30">
        <v>0</v>
      </c>
      <c r="I30">
        <f t="shared" si="0"/>
        <v>750</v>
      </c>
    </row>
    <row r="31" spans="2:13">
      <c r="B31" s="122" t="s">
        <v>40</v>
      </c>
      <c r="C31" s="118" t="s">
        <v>6</v>
      </c>
      <c r="D31" s="118" t="s">
        <v>222</v>
      </c>
      <c r="E31" s="118" t="s">
        <v>231</v>
      </c>
      <c r="F31" s="123">
        <v>249</v>
      </c>
      <c r="G31" s="142" t="s">
        <v>261</v>
      </c>
      <c r="H31">
        <v>249</v>
      </c>
      <c r="I31">
        <f t="shared" si="0"/>
        <v>0</v>
      </c>
      <c r="L31">
        <f>789+94+750</f>
        <v>1633</v>
      </c>
    </row>
    <row r="32" spans="2:13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485</v>
      </c>
      <c r="G32" s="142" t="s">
        <v>261</v>
      </c>
      <c r="H32">
        <v>485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3</v>
      </c>
      <c r="G33" s="142" t="s">
        <v>266</v>
      </c>
      <c r="H33">
        <v>3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440</v>
      </c>
      <c r="E34" s="125" t="s">
        <v>441</v>
      </c>
      <c r="F34" s="126">
        <v>276</v>
      </c>
      <c r="G34" s="142" t="s">
        <v>266</v>
      </c>
      <c r="H34">
        <v>276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0B85-DE31-F443-92C4-CD01DEC41601}">
  <dimension ref="B3:L35"/>
  <sheetViews>
    <sheetView showGridLines="0" topLeftCell="A8" workbookViewId="0">
      <selection activeCell="K27" sqref="K27"/>
    </sheetView>
  </sheetViews>
  <sheetFormatPr baseColWidth="10" defaultRowHeight="16"/>
  <cols>
    <col min="5" max="5" width="15" bestFit="1" customWidth="1"/>
    <col min="12" max="12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41</v>
      </c>
      <c r="E5" s="128" t="s">
        <v>115</v>
      </c>
      <c r="F5" s="129">
        <v>41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105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58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41</v>
      </c>
    </row>
    <row r="9" spans="2:6">
      <c r="B9" s="90" t="s">
        <v>17</v>
      </c>
      <c r="C9" s="91" t="s">
        <v>18</v>
      </c>
      <c r="D9" s="91" t="s">
        <v>109</v>
      </c>
      <c r="E9" s="91" t="s">
        <v>110</v>
      </c>
      <c r="F9" s="92">
        <v>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648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173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100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423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50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100</v>
      </c>
    </row>
    <row r="17" spans="2:12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65</v>
      </c>
    </row>
    <row r="18" spans="2:12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88</v>
      </c>
    </row>
    <row r="20" spans="2:12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20</v>
      </c>
    </row>
    <row r="21" spans="2:12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12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374</v>
      </c>
    </row>
    <row r="23" spans="2:12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20</v>
      </c>
      <c r="L23" t="s">
        <v>444</v>
      </c>
    </row>
    <row r="24" spans="2:12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27</v>
      </c>
      <c r="L24" s="205">
        <f>SUM(I26:I35)+'11.15.2021'!M23</f>
        <v>4015.1</v>
      </c>
    </row>
    <row r="25" spans="2:12" ht="17" thickBot="1">
      <c r="B25" s="105" t="s">
        <v>27</v>
      </c>
      <c r="C25" s="106" t="s">
        <v>6</v>
      </c>
      <c r="D25" s="106" t="s">
        <v>13</v>
      </c>
      <c r="E25" s="106" t="s">
        <v>119</v>
      </c>
      <c r="F25" s="107">
        <v>50</v>
      </c>
      <c r="I25" s="194" t="s">
        <v>272</v>
      </c>
    </row>
    <row r="26" spans="2:12">
      <c r="B26" s="133" t="s">
        <v>40</v>
      </c>
      <c r="C26" s="134" t="s">
        <v>18</v>
      </c>
      <c r="D26" s="134" t="s">
        <v>257</v>
      </c>
      <c r="E26" s="134" t="s">
        <v>258</v>
      </c>
      <c r="F26" s="135">
        <v>0</v>
      </c>
      <c r="G26" s="142" t="s">
        <v>266</v>
      </c>
      <c r="I26">
        <f>IF(C26="Pay",H26-F26,F26-H26)</f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196</v>
      </c>
      <c r="G27" s="142" t="s">
        <v>266</v>
      </c>
      <c r="H27">
        <v>196</v>
      </c>
      <c r="I27">
        <f t="shared" ref="I27:I35" si="0">IF(C27="Pay",H27-F27,F27-H27)</f>
        <v>0</v>
      </c>
    </row>
    <row r="28" spans="2:12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25</v>
      </c>
      <c r="G28" s="142" t="s">
        <v>266</v>
      </c>
      <c r="H28">
        <v>25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1078.2</v>
      </c>
      <c r="G29" s="142" t="s">
        <v>266</v>
      </c>
      <c r="H29">
        <v>1078.2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25</v>
      </c>
      <c r="G30" s="142" t="s">
        <v>266</v>
      </c>
      <c r="H30">
        <v>25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130</v>
      </c>
      <c r="E31" s="118" t="s">
        <v>131</v>
      </c>
      <c r="F31" s="123">
        <v>200</v>
      </c>
      <c r="G31" s="142" t="s">
        <v>266</v>
      </c>
      <c r="H31">
        <v>200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222</v>
      </c>
      <c r="E32" s="118" t="s">
        <v>231</v>
      </c>
      <c r="F32" s="123">
        <v>23</v>
      </c>
      <c r="G32" s="142" t="s">
        <v>266</v>
      </c>
      <c r="H32">
        <v>23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223</v>
      </c>
      <c r="E33" s="118" t="s">
        <v>232</v>
      </c>
      <c r="F33" s="123">
        <v>999</v>
      </c>
      <c r="G33" s="142" t="s">
        <v>266</v>
      </c>
      <c r="H33">
        <v>999</v>
      </c>
      <c r="I33">
        <f t="shared" si="0"/>
        <v>0</v>
      </c>
    </row>
    <row r="34" spans="2:9">
      <c r="B34" s="122" t="s">
        <v>40</v>
      </c>
      <c r="C34" s="118" t="s">
        <v>6</v>
      </c>
      <c r="D34" s="118" t="s">
        <v>255</v>
      </c>
      <c r="E34" s="118" t="s">
        <v>256</v>
      </c>
      <c r="F34" s="123">
        <v>206</v>
      </c>
      <c r="G34" s="142" t="s">
        <v>266</v>
      </c>
      <c r="H34">
        <v>206</v>
      </c>
      <c r="I34">
        <f t="shared" si="0"/>
        <v>0</v>
      </c>
    </row>
    <row r="35" spans="2:9" ht="17" thickBot="1">
      <c r="B35" s="124" t="s">
        <v>40</v>
      </c>
      <c r="C35" s="125" t="s">
        <v>6</v>
      </c>
      <c r="D35" s="125" t="s">
        <v>440</v>
      </c>
      <c r="E35" s="125" t="s">
        <v>441</v>
      </c>
      <c r="F35" s="126">
        <v>66</v>
      </c>
      <c r="G35" s="142" t="s">
        <v>266</v>
      </c>
      <c r="H35">
        <v>66</v>
      </c>
      <c r="I35">
        <f t="shared" si="0"/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2BB3-2EF9-954B-8870-2FB7AAF38667}">
  <dimension ref="B3:L35"/>
  <sheetViews>
    <sheetView showGridLines="0" workbookViewId="0">
      <selection activeCell="I34" sqref="I34"/>
    </sheetView>
  </sheetViews>
  <sheetFormatPr baseColWidth="10" defaultRowHeight="16"/>
  <cols>
    <col min="5" max="5" width="15" bestFit="1" customWidth="1"/>
    <col min="11" max="11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18</v>
      </c>
      <c r="D5" s="128" t="s">
        <v>41</v>
      </c>
      <c r="E5" s="128" t="s">
        <v>115</v>
      </c>
      <c r="F5" s="129">
        <v>52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1561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92">
        <v>0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92">
        <v>54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112</v>
      </c>
    </row>
    <row r="10" spans="2:6">
      <c r="B10" s="90" t="s">
        <v>17</v>
      </c>
      <c r="C10" s="91" t="s">
        <v>6</v>
      </c>
      <c r="D10" s="91" t="s">
        <v>67</v>
      </c>
      <c r="E10" s="91" t="s">
        <v>68</v>
      </c>
      <c r="F10" s="92">
        <v>53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92">
        <v>211</v>
      </c>
    </row>
    <row r="12" spans="2:6" ht="17" thickBot="1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30</v>
      </c>
    </row>
    <row r="13" spans="2:6">
      <c r="B13" s="99" t="s">
        <v>27</v>
      </c>
      <c r="C13" s="100" t="s">
        <v>18</v>
      </c>
      <c r="D13" s="100" t="s">
        <v>13</v>
      </c>
      <c r="E13" s="100" t="s">
        <v>119</v>
      </c>
      <c r="F13" s="101">
        <v>102</v>
      </c>
    </row>
    <row r="14" spans="2:6">
      <c r="B14" s="102" t="s">
        <v>27</v>
      </c>
      <c r="C14" s="103" t="s">
        <v>18</v>
      </c>
      <c r="D14" s="103" t="s">
        <v>262</v>
      </c>
      <c r="E14" s="103" t="s">
        <v>263</v>
      </c>
      <c r="F14" s="104">
        <v>117</v>
      </c>
    </row>
    <row r="15" spans="2:6">
      <c r="B15" s="102" t="s">
        <v>27</v>
      </c>
      <c r="C15" s="103" t="s">
        <v>6</v>
      </c>
      <c r="D15" s="103" t="s">
        <v>61</v>
      </c>
      <c r="E15" s="103" t="s">
        <v>62</v>
      </c>
      <c r="F15" s="104">
        <v>100</v>
      </c>
    </row>
    <row r="16" spans="2:6">
      <c r="B16" s="102" t="s">
        <v>27</v>
      </c>
      <c r="C16" s="103" t="s">
        <v>6</v>
      </c>
      <c r="D16" s="103" t="s">
        <v>30</v>
      </c>
      <c r="E16" s="103" t="s">
        <v>31</v>
      </c>
      <c r="F16" s="104">
        <v>18</v>
      </c>
    </row>
    <row r="17" spans="2:12">
      <c r="B17" s="102" t="s">
        <v>27</v>
      </c>
      <c r="C17" s="103" t="s">
        <v>6</v>
      </c>
      <c r="D17" s="103" t="s">
        <v>28</v>
      </c>
      <c r="E17" s="103" t="s">
        <v>29</v>
      </c>
      <c r="F17" s="104">
        <v>403</v>
      </c>
    </row>
    <row r="18" spans="2:12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111</v>
      </c>
    </row>
    <row r="19" spans="2:12">
      <c r="B19" s="102" t="s">
        <v>27</v>
      </c>
      <c r="C19" s="103" t="s">
        <v>6</v>
      </c>
      <c r="D19" s="103" t="s">
        <v>34</v>
      </c>
      <c r="E19" s="103" t="s">
        <v>35</v>
      </c>
      <c r="F19" s="104">
        <v>10</v>
      </c>
      <c r="K19" t="s">
        <v>444</v>
      </c>
    </row>
    <row r="20" spans="2:12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93</v>
      </c>
      <c r="K20" s="206">
        <f>SUM(I22:I30)+'11.22.2021'!L24</f>
        <v>4704.1000000000004</v>
      </c>
    </row>
    <row r="21" spans="2:12" ht="17" thickBot="1">
      <c r="B21" s="115" t="s">
        <v>27</v>
      </c>
      <c r="C21" s="116" t="s">
        <v>6</v>
      </c>
      <c r="D21" s="116" t="s">
        <v>63</v>
      </c>
      <c r="E21" s="116" t="s">
        <v>64</v>
      </c>
      <c r="F21" s="117">
        <v>29</v>
      </c>
      <c r="I21" s="194" t="s">
        <v>272</v>
      </c>
    </row>
    <row r="22" spans="2:12">
      <c r="B22" s="119" t="s">
        <v>40</v>
      </c>
      <c r="C22" s="120" t="s">
        <v>18</v>
      </c>
      <c r="D22" s="120" t="s">
        <v>130</v>
      </c>
      <c r="E22" s="120" t="s">
        <v>131</v>
      </c>
      <c r="F22" s="121">
        <v>123</v>
      </c>
      <c r="G22" s="142" t="s">
        <v>266</v>
      </c>
      <c r="H22">
        <v>123</v>
      </c>
      <c r="I22">
        <f>IF(C22="Pay",H22-F22,F22-H22)</f>
        <v>0</v>
      </c>
    </row>
    <row r="23" spans="2:12">
      <c r="B23" s="122" t="s">
        <v>40</v>
      </c>
      <c r="C23" s="118" t="s">
        <v>18</v>
      </c>
      <c r="D23" s="118" t="s">
        <v>222</v>
      </c>
      <c r="E23" s="118" t="s">
        <v>231</v>
      </c>
      <c r="F23" s="123">
        <v>148</v>
      </c>
      <c r="G23" s="142" t="s">
        <v>266</v>
      </c>
      <c r="H23">
        <v>148</v>
      </c>
      <c r="I23">
        <f t="shared" ref="I23:I30" si="0">IF(C23="Pay",H23-F23,F23-H23)</f>
        <v>0</v>
      </c>
    </row>
    <row r="24" spans="2:12">
      <c r="B24" s="122" t="s">
        <v>40</v>
      </c>
      <c r="C24" s="118" t="s">
        <v>18</v>
      </c>
      <c r="D24" s="118" t="s">
        <v>257</v>
      </c>
      <c r="E24" s="118" t="s">
        <v>258</v>
      </c>
      <c r="F24" s="123">
        <v>11</v>
      </c>
      <c r="G24" s="142" t="s">
        <v>266</v>
      </c>
      <c r="H24">
        <v>11</v>
      </c>
      <c r="I24">
        <f t="shared" si="0"/>
        <v>0</v>
      </c>
    </row>
    <row r="25" spans="2:12">
      <c r="B25" s="122" t="s">
        <v>40</v>
      </c>
      <c r="C25" s="118" t="s">
        <v>18</v>
      </c>
      <c r="D25" s="118" t="s">
        <v>255</v>
      </c>
      <c r="E25" s="118" t="s">
        <v>256</v>
      </c>
      <c r="F25" s="123">
        <v>532</v>
      </c>
      <c r="G25" s="142" t="s">
        <v>266</v>
      </c>
      <c r="H25">
        <v>532</v>
      </c>
      <c r="I25">
        <f t="shared" si="0"/>
        <v>0</v>
      </c>
    </row>
    <row r="26" spans="2:12">
      <c r="B26" s="122" t="s">
        <v>40</v>
      </c>
      <c r="C26" s="118" t="s">
        <v>18</v>
      </c>
      <c r="D26" s="118" t="s">
        <v>440</v>
      </c>
      <c r="E26" s="118" t="s">
        <v>441</v>
      </c>
      <c r="F26" s="123">
        <v>657</v>
      </c>
      <c r="G26" s="142" t="s">
        <v>266</v>
      </c>
      <c r="H26">
        <v>657</v>
      </c>
      <c r="I26">
        <f t="shared" si="0"/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130</v>
      </c>
      <c r="G27" s="142" t="s">
        <v>266</v>
      </c>
      <c r="H27">
        <v>130</v>
      </c>
      <c r="I27">
        <f t="shared" si="0"/>
        <v>0</v>
      </c>
    </row>
    <row r="28" spans="2:12">
      <c r="B28" s="122" t="s">
        <v>40</v>
      </c>
      <c r="C28" s="118" t="s">
        <v>6</v>
      </c>
      <c r="D28" s="118" t="s">
        <v>11</v>
      </c>
      <c r="E28" s="118" t="s">
        <v>122</v>
      </c>
      <c r="F28" s="123">
        <v>911</v>
      </c>
      <c r="G28" s="142" t="s">
        <v>261</v>
      </c>
      <c r="H28">
        <v>911</v>
      </c>
      <c r="I28">
        <f t="shared" si="0"/>
        <v>0</v>
      </c>
      <c r="L28">
        <f>1096-689</f>
        <v>407</v>
      </c>
    </row>
    <row r="29" spans="2:12">
      <c r="B29" s="122" t="s">
        <v>40</v>
      </c>
      <c r="C29" s="118" t="s">
        <v>6</v>
      </c>
      <c r="D29" s="118" t="s">
        <v>132</v>
      </c>
      <c r="E29" s="118" t="s">
        <v>133</v>
      </c>
      <c r="F29" s="123">
        <v>689</v>
      </c>
      <c r="G29" s="142" t="s">
        <v>261</v>
      </c>
      <c r="H29">
        <v>0</v>
      </c>
      <c r="I29">
        <f t="shared" si="0"/>
        <v>689</v>
      </c>
    </row>
    <row r="30" spans="2:12" ht="17" thickBot="1">
      <c r="B30" s="124" t="s">
        <v>40</v>
      </c>
      <c r="C30" s="125" t="s">
        <v>6</v>
      </c>
      <c r="D30" s="125" t="s">
        <v>223</v>
      </c>
      <c r="E30" s="125" t="s">
        <v>232</v>
      </c>
      <c r="F30" s="126">
        <v>699</v>
      </c>
      <c r="G30" s="142" t="s">
        <v>261</v>
      </c>
      <c r="H30">
        <v>699</v>
      </c>
      <c r="I30">
        <f t="shared" si="0"/>
        <v>0</v>
      </c>
    </row>
    <row r="35" spans="12:12">
      <c r="L35">
        <f>750+689</f>
        <v>1439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3604-713E-D544-A01F-712764A1B7B9}">
  <dimension ref="B3:L34"/>
  <sheetViews>
    <sheetView showGridLines="0" topLeftCell="A4" workbookViewId="0">
      <selection activeCell="H30" sqref="H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226</v>
      </c>
      <c r="E5" s="128" t="s">
        <v>227</v>
      </c>
      <c r="F5" s="129">
        <v>18</v>
      </c>
    </row>
    <row r="6" spans="2:6" ht="17" thickBot="1">
      <c r="B6" s="137" t="s">
        <v>5</v>
      </c>
      <c r="C6" s="136" t="s">
        <v>6</v>
      </c>
      <c r="D6" s="136" t="s">
        <v>41</v>
      </c>
      <c r="E6" s="136" t="s">
        <v>115</v>
      </c>
      <c r="F6" s="138">
        <v>791</v>
      </c>
    </row>
    <row r="7" spans="2:6">
      <c r="B7" s="87" t="s">
        <v>17</v>
      </c>
      <c r="C7" s="88" t="s">
        <v>18</v>
      </c>
      <c r="D7" s="88" t="s">
        <v>21</v>
      </c>
      <c r="E7" s="88" t="s">
        <v>22</v>
      </c>
      <c r="F7" s="89">
        <v>25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205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37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47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93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22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125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56</v>
      </c>
    </row>
    <row r="16" spans="2:6" ht="17" thickBot="1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25</v>
      </c>
    </row>
    <row r="17" spans="2:12">
      <c r="B17" s="99" t="s">
        <v>27</v>
      </c>
      <c r="C17" s="100" t="s">
        <v>18</v>
      </c>
      <c r="D17" s="100" t="s">
        <v>30</v>
      </c>
      <c r="E17" s="100" t="s">
        <v>31</v>
      </c>
      <c r="F17" s="101">
        <v>158</v>
      </c>
    </row>
    <row r="18" spans="2:12">
      <c r="B18" s="102" t="s">
        <v>27</v>
      </c>
      <c r="C18" s="103" t="s">
        <v>18</v>
      </c>
      <c r="D18" s="103" t="s">
        <v>28</v>
      </c>
      <c r="E18" s="103" t="s">
        <v>29</v>
      </c>
      <c r="F18" s="104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</v>
      </c>
    </row>
    <row r="20" spans="2:12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46</v>
      </c>
    </row>
    <row r="21" spans="2:12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318</v>
      </c>
    </row>
    <row r="22" spans="2:12">
      <c r="B22" s="102" t="s">
        <v>27</v>
      </c>
      <c r="C22" s="103" t="s">
        <v>18</v>
      </c>
      <c r="D22" s="103" t="s">
        <v>13</v>
      </c>
      <c r="E22" s="103" t="s">
        <v>119</v>
      </c>
      <c r="F22" s="104">
        <v>50</v>
      </c>
    </row>
    <row r="23" spans="2:12">
      <c r="B23" s="102" t="s">
        <v>27</v>
      </c>
      <c r="C23" s="103" t="s">
        <v>18</v>
      </c>
      <c r="D23" s="103" t="s">
        <v>262</v>
      </c>
      <c r="E23" s="103" t="s">
        <v>263</v>
      </c>
      <c r="F23" s="104">
        <v>15</v>
      </c>
      <c r="L23" t="s">
        <v>444</v>
      </c>
    </row>
    <row r="24" spans="2:12" ht="17" thickBot="1">
      <c r="B24" s="105" t="s">
        <v>27</v>
      </c>
      <c r="C24" s="106" t="s">
        <v>6</v>
      </c>
      <c r="D24" s="106" t="s">
        <v>63</v>
      </c>
      <c r="E24" s="106" t="s">
        <v>64</v>
      </c>
      <c r="F24" s="107">
        <v>34</v>
      </c>
      <c r="I24" s="194" t="s">
        <v>272</v>
      </c>
      <c r="L24" s="206">
        <f>SUM(I25:I34)+'11.29.2021'!K20</f>
        <v>4704.1000000000004</v>
      </c>
    </row>
    <row r="25" spans="2:12">
      <c r="B25" s="133" t="s">
        <v>40</v>
      </c>
      <c r="C25" s="134" t="s">
        <v>18</v>
      </c>
      <c r="D25" s="134" t="s">
        <v>130</v>
      </c>
      <c r="E25" s="134" t="s">
        <v>131</v>
      </c>
      <c r="F25" s="135">
        <v>100</v>
      </c>
      <c r="G25" s="142" t="s">
        <v>266</v>
      </c>
      <c r="H25">
        <v>100</v>
      </c>
      <c r="I25">
        <f>IF(C25="Pay",H25-F25,F25-H25)</f>
        <v>0</v>
      </c>
    </row>
    <row r="26" spans="2:12">
      <c r="B26" s="122" t="s">
        <v>40</v>
      </c>
      <c r="C26" s="118" t="s">
        <v>18</v>
      </c>
      <c r="D26" s="118" t="s">
        <v>132</v>
      </c>
      <c r="E26" s="118" t="s">
        <v>133</v>
      </c>
      <c r="F26" s="123">
        <v>48</v>
      </c>
      <c r="G26" s="142" t="s">
        <v>266</v>
      </c>
      <c r="H26">
        <v>48</v>
      </c>
      <c r="I26">
        <f t="shared" ref="I26:I34" si="0">IF(C26="Pay",H26-F26,F26-H26)</f>
        <v>0</v>
      </c>
    </row>
    <row r="27" spans="2:12">
      <c r="B27" s="122" t="s">
        <v>40</v>
      </c>
      <c r="C27" s="118" t="s">
        <v>18</v>
      </c>
      <c r="D27" s="118" t="s">
        <v>222</v>
      </c>
      <c r="E27" s="118" t="s">
        <v>231</v>
      </c>
      <c r="F27" s="123">
        <v>89</v>
      </c>
      <c r="G27" s="142" t="s">
        <v>266</v>
      </c>
      <c r="H27">
        <v>89</v>
      </c>
      <c r="I27">
        <f t="shared" si="0"/>
        <v>0</v>
      </c>
    </row>
    <row r="28" spans="2:12">
      <c r="B28" s="122" t="s">
        <v>40</v>
      </c>
      <c r="C28" s="118" t="s">
        <v>18</v>
      </c>
      <c r="D28" s="118" t="s">
        <v>440</v>
      </c>
      <c r="E28" s="118" t="s">
        <v>441</v>
      </c>
      <c r="F28" s="123">
        <v>1096</v>
      </c>
      <c r="G28" s="142" t="s">
        <v>266</v>
      </c>
      <c r="H28">
        <v>1096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495</v>
      </c>
      <c r="G29" s="142" t="s">
        <v>261</v>
      </c>
      <c r="H29">
        <v>495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200</v>
      </c>
      <c r="G30" s="142" t="s">
        <v>261</v>
      </c>
      <c r="H30">
        <v>200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398</v>
      </c>
      <c r="G31" s="142" t="s">
        <v>261</v>
      </c>
      <c r="H31">
        <v>398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988</v>
      </c>
      <c r="G32" s="142" t="s">
        <v>261</v>
      </c>
      <c r="H32">
        <v>988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40</v>
      </c>
      <c r="G33" s="142" t="s">
        <v>261</v>
      </c>
      <c r="H33">
        <v>40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255</v>
      </c>
      <c r="E34" s="125" t="s">
        <v>256</v>
      </c>
      <c r="F34" s="126">
        <v>804</v>
      </c>
      <c r="G34" s="142" t="s">
        <v>261</v>
      </c>
      <c r="H34">
        <v>804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D49A-7842-A948-AB0B-5AAC4FFA4495}">
  <dimension ref="B3:P45"/>
  <sheetViews>
    <sheetView showGridLines="0" topLeftCell="A4" workbookViewId="0">
      <selection activeCell="O22" sqref="O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41</v>
      </c>
      <c r="E5" s="128" t="s">
        <v>115</v>
      </c>
      <c r="F5" s="129">
        <v>387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387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75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576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35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357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200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75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35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63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186</v>
      </c>
    </row>
    <row r="17" spans="2:16" ht="17" thickBot="1">
      <c r="B17" s="112" t="s">
        <v>17</v>
      </c>
      <c r="C17" s="113" t="s">
        <v>6</v>
      </c>
      <c r="D17" s="113" t="s">
        <v>221</v>
      </c>
      <c r="E17" s="113" t="s">
        <v>230</v>
      </c>
      <c r="F17" s="114">
        <v>110</v>
      </c>
    </row>
    <row r="18" spans="2:1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6">
      <c r="B19" s="102" t="s">
        <v>27</v>
      </c>
      <c r="C19" s="103" t="s">
        <v>6</v>
      </c>
      <c r="D19" s="103" t="s">
        <v>30</v>
      </c>
      <c r="E19" s="103" t="s">
        <v>31</v>
      </c>
      <c r="F19" s="104">
        <v>768</v>
      </c>
    </row>
    <row r="20" spans="2:16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263</v>
      </c>
    </row>
    <row r="21" spans="2:16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87</v>
      </c>
    </row>
    <row r="22" spans="2:16">
      <c r="B22" s="102" t="s">
        <v>27</v>
      </c>
      <c r="C22" s="103" t="s">
        <v>6</v>
      </c>
      <c r="D22" s="103" t="s">
        <v>36</v>
      </c>
      <c r="E22" s="103" t="s">
        <v>37</v>
      </c>
      <c r="F22" s="104">
        <v>120</v>
      </c>
    </row>
    <row r="23" spans="2:16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20</v>
      </c>
      <c r="L23" t="s">
        <v>444</v>
      </c>
    </row>
    <row r="24" spans="2:16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30</v>
      </c>
      <c r="L24" s="206">
        <f>SUM(I26:I35)+'12.06.2021'!L24</f>
        <v>4804.1000000000004</v>
      </c>
    </row>
    <row r="25" spans="2:16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29</v>
      </c>
      <c r="I25" s="194" t="s">
        <v>272</v>
      </c>
    </row>
    <row r="26" spans="2:16">
      <c r="B26" s="133" t="s">
        <v>40</v>
      </c>
      <c r="C26" s="134" t="s">
        <v>18</v>
      </c>
      <c r="D26" s="134" t="s">
        <v>223</v>
      </c>
      <c r="E26" s="134" t="s">
        <v>232</v>
      </c>
      <c r="F26" s="135">
        <v>197</v>
      </c>
      <c r="G26" s="142" t="s">
        <v>266</v>
      </c>
      <c r="H26">
        <v>197</v>
      </c>
      <c r="I26">
        <f>IF(C26="Pay",H26-F26,F26-H26)</f>
        <v>0</v>
      </c>
    </row>
    <row r="27" spans="2:16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682</v>
      </c>
      <c r="G27" s="142" t="s">
        <v>266</v>
      </c>
      <c r="H27">
        <v>682</v>
      </c>
      <c r="I27">
        <f t="shared" ref="I27:I35" si="0">IF(C27="Pay",H27-F27,F27-H27)</f>
        <v>0</v>
      </c>
    </row>
    <row r="28" spans="2:16">
      <c r="B28" s="122" t="s">
        <v>40</v>
      </c>
      <c r="C28" s="118" t="s">
        <v>18</v>
      </c>
      <c r="D28" s="118" t="s">
        <v>440</v>
      </c>
      <c r="E28" s="118" t="s">
        <v>445</v>
      </c>
      <c r="F28" s="123">
        <v>0</v>
      </c>
      <c r="G28" s="142" t="s">
        <v>266</v>
      </c>
      <c r="I28">
        <f t="shared" si="0"/>
        <v>0</v>
      </c>
    </row>
    <row r="29" spans="2:16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455</v>
      </c>
      <c r="G29" s="142" t="s">
        <v>261</v>
      </c>
      <c r="H29">
        <v>355</v>
      </c>
      <c r="I29">
        <f t="shared" si="0"/>
        <v>100</v>
      </c>
    </row>
    <row r="30" spans="2:16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465</v>
      </c>
      <c r="G30" s="142" t="s">
        <v>266</v>
      </c>
      <c r="H30">
        <v>465</v>
      </c>
      <c r="I30">
        <f t="shared" si="0"/>
        <v>0</v>
      </c>
      <c r="K30">
        <f>I29+245</f>
        <v>345</v>
      </c>
    </row>
    <row r="31" spans="2:16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358</v>
      </c>
      <c r="G31" s="142" t="s">
        <v>266</v>
      </c>
      <c r="H31">
        <v>358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65</v>
      </c>
      <c r="E32" s="118" t="s">
        <v>66</v>
      </c>
      <c r="F32" s="123">
        <v>5</v>
      </c>
      <c r="G32" s="142" t="s">
        <v>266</v>
      </c>
      <c r="H32">
        <v>5</v>
      </c>
      <c r="I32">
        <f t="shared" si="0"/>
        <v>0</v>
      </c>
      <c r="P32">
        <f>750+689</f>
        <v>1439</v>
      </c>
    </row>
    <row r="33" spans="2:16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53</v>
      </c>
      <c r="G33" s="142" t="s">
        <v>266</v>
      </c>
      <c r="H33">
        <v>53</v>
      </c>
      <c r="I33">
        <f t="shared" si="0"/>
        <v>0</v>
      </c>
    </row>
    <row r="34" spans="2:16">
      <c r="B34" s="122" t="s">
        <v>40</v>
      </c>
      <c r="C34" s="118" t="s">
        <v>6</v>
      </c>
      <c r="D34" s="118" t="s">
        <v>222</v>
      </c>
      <c r="E34" s="118" t="s">
        <v>231</v>
      </c>
      <c r="F34" s="123">
        <v>750</v>
      </c>
      <c r="G34" s="142" t="s">
        <v>261</v>
      </c>
      <c r="H34">
        <v>750</v>
      </c>
      <c r="I34">
        <f t="shared" si="0"/>
        <v>0</v>
      </c>
    </row>
    <row r="35" spans="2:16" ht="17" thickBot="1">
      <c r="B35" s="124" t="s">
        <v>40</v>
      </c>
      <c r="C35" s="125" t="s">
        <v>6</v>
      </c>
      <c r="D35" s="125" t="s">
        <v>257</v>
      </c>
      <c r="E35" s="125" t="s">
        <v>258</v>
      </c>
      <c r="F35" s="126">
        <v>22</v>
      </c>
      <c r="G35" s="142" t="s">
        <v>266</v>
      </c>
      <c r="H35">
        <v>22</v>
      </c>
      <c r="I35">
        <f t="shared" si="0"/>
        <v>0</v>
      </c>
    </row>
    <row r="44" spans="2:16">
      <c r="K44">
        <v>1.2</v>
      </c>
      <c r="N44">
        <f>100/145</f>
        <v>0.68965517241379315</v>
      </c>
    </row>
    <row r="45" spans="2:16">
      <c r="K45">
        <f>100*K44</f>
        <v>120</v>
      </c>
      <c r="N45">
        <v>270</v>
      </c>
      <c r="P45">
        <f>N45*N44</f>
        <v>186.20689655172416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76C7-EADC-B64A-9E33-4F5CB19B95A7}">
  <dimension ref="B3:T32"/>
  <sheetViews>
    <sheetView showGridLines="0" topLeftCell="A9" workbookViewId="0">
      <selection activeCell="G27" sqref="G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224</v>
      </c>
      <c r="E5" s="128" t="s">
        <v>225</v>
      </c>
      <c r="F5" s="129">
        <v>50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194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179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219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37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105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1</v>
      </c>
    </row>
    <row r="15" spans="2:6" ht="17" thickBot="1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173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20">
      <c r="B17" s="102" t="s">
        <v>27</v>
      </c>
      <c r="C17" s="103" t="s">
        <v>18</v>
      </c>
      <c r="D17" s="103" t="s">
        <v>13</v>
      </c>
      <c r="E17" s="103" t="s">
        <v>119</v>
      </c>
      <c r="F17" s="104">
        <v>50</v>
      </c>
    </row>
    <row r="18" spans="2:20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186</v>
      </c>
    </row>
    <row r="19" spans="2:20">
      <c r="B19" s="102" t="s">
        <v>27</v>
      </c>
      <c r="C19" s="103" t="s">
        <v>6</v>
      </c>
      <c r="D19" s="103" t="s">
        <v>32</v>
      </c>
      <c r="E19" s="103" t="s">
        <v>33</v>
      </c>
      <c r="F19" s="104">
        <v>356</v>
      </c>
      <c r="S19">
        <f>140+S20</f>
        <v>453.5</v>
      </c>
    </row>
    <row r="20" spans="2:20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25</v>
      </c>
      <c r="S20">
        <f>627/2</f>
        <v>313.5</v>
      </c>
    </row>
    <row r="21" spans="2:20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60</v>
      </c>
    </row>
    <row r="22" spans="2:20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6</v>
      </c>
    </row>
    <row r="23" spans="2:20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209</v>
      </c>
    </row>
    <row r="24" spans="2:20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53</v>
      </c>
    </row>
    <row r="25" spans="2:20" ht="17" thickBot="1">
      <c r="B25" s="105" t="s">
        <v>27</v>
      </c>
      <c r="C25" s="106" t="s">
        <v>6</v>
      </c>
      <c r="D25" s="106" t="s">
        <v>81</v>
      </c>
      <c r="E25" s="106" t="s">
        <v>82</v>
      </c>
      <c r="F25" s="107">
        <v>20</v>
      </c>
    </row>
    <row r="26" spans="2:20">
      <c r="B26" s="133" t="s">
        <v>40</v>
      </c>
      <c r="C26" s="134" t="s">
        <v>18</v>
      </c>
      <c r="D26" s="134" t="s">
        <v>113</v>
      </c>
      <c r="E26" s="134" t="s">
        <v>114</v>
      </c>
      <c r="F26" s="135">
        <v>857</v>
      </c>
    </row>
    <row r="27" spans="2:20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451</v>
      </c>
    </row>
    <row r="28" spans="2:20">
      <c r="B28" s="122" t="s">
        <v>40</v>
      </c>
      <c r="C28" s="118" t="s">
        <v>18</v>
      </c>
      <c r="D28" s="118" t="s">
        <v>223</v>
      </c>
      <c r="E28" s="118" t="s">
        <v>232</v>
      </c>
      <c r="F28" s="123">
        <v>123</v>
      </c>
    </row>
    <row r="29" spans="2:20">
      <c r="B29" s="122" t="s">
        <v>40</v>
      </c>
      <c r="C29" s="118" t="s">
        <v>6</v>
      </c>
      <c r="D29" s="118" t="s">
        <v>45</v>
      </c>
      <c r="E29" s="118" t="s">
        <v>46</v>
      </c>
      <c r="F29" s="123">
        <v>190</v>
      </c>
      <c r="T29">
        <f>F26-S19</f>
        <v>403.5</v>
      </c>
    </row>
    <row r="30" spans="2:20">
      <c r="B30" s="122" t="s">
        <v>40</v>
      </c>
      <c r="C30" s="118" t="s">
        <v>6</v>
      </c>
      <c r="D30" s="118" t="s">
        <v>130</v>
      </c>
      <c r="E30" s="118" t="s">
        <v>131</v>
      </c>
      <c r="F30" s="123">
        <v>10</v>
      </c>
    </row>
    <row r="31" spans="2:20">
      <c r="B31" s="122" t="s">
        <v>40</v>
      </c>
      <c r="C31" s="118" t="s">
        <v>6</v>
      </c>
      <c r="D31" s="118" t="s">
        <v>257</v>
      </c>
      <c r="E31" s="118" t="s">
        <v>258</v>
      </c>
      <c r="F31" s="123">
        <v>22</v>
      </c>
    </row>
    <row r="32" spans="2:20" ht="17" thickBot="1">
      <c r="B32" s="124" t="s">
        <v>40</v>
      </c>
      <c r="C32" s="125" t="s">
        <v>6</v>
      </c>
      <c r="D32" s="125" t="s">
        <v>255</v>
      </c>
      <c r="E32" s="125" t="s">
        <v>256</v>
      </c>
      <c r="F32" s="126">
        <v>223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0412-F8E7-F047-B17C-0A97BE5D015A}">
  <dimension ref="B3:G36"/>
  <sheetViews>
    <sheetView showGridLines="0" workbookViewId="0">
      <selection activeCell="B6" sqref="B6:F3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207" t="s">
        <v>5</v>
      </c>
      <c r="C5" s="208" t="s">
        <v>6</v>
      </c>
      <c r="D5" s="208" t="s">
        <v>41</v>
      </c>
      <c r="E5" s="208" t="s">
        <v>115</v>
      </c>
      <c r="F5" s="209">
        <v>100</v>
      </c>
    </row>
    <row r="6" spans="2:6">
      <c r="B6" s="210" t="s">
        <v>17</v>
      </c>
      <c r="C6" s="211" t="s">
        <v>18</v>
      </c>
      <c r="D6" s="211" t="s">
        <v>21</v>
      </c>
      <c r="E6" s="211" t="s">
        <v>22</v>
      </c>
      <c r="F6" s="212">
        <v>400</v>
      </c>
    </row>
    <row r="7" spans="2:6">
      <c r="B7" s="213" t="s">
        <v>17</v>
      </c>
      <c r="C7" s="91" t="s">
        <v>18</v>
      </c>
      <c r="D7" s="91" t="s">
        <v>57</v>
      </c>
      <c r="E7" s="91" t="s">
        <v>58</v>
      </c>
      <c r="F7" s="214">
        <v>40</v>
      </c>
    </row>
    <row r="8" spans="2:6">
      <c r="B8" s="213" t="s">
        <v>17</v>
      </c>
      <c r="C8" s="91" t="s">
        <v>18</v>
      </c>
      <c r="D8" s="91" t="s">
        <v>120</v>
      </c>
      <c r="E8" s="91" t="s">
        <v>121</v>
      </c>
      <c r="F8" s="214">
        <v>20</v>
      </c>
    </row>
    <row r="9" spans="2:6">
      <c r="B9" s="213" t="s">
        <v>17</v>
      </c>
      <c r="C9" s="91" t="s">
        <v>18</v>
      </c>
      <c r="D9" s="91" t="s">
        <v>19</v>
      </c>
      <c r="E9" s="91" t="s">
        <v>20</v>
      </c>
      <c r="F9" s="214">
        <v>119</v>
      </c>
    </row>
    <row r="10" spans="2:6">
      <c r="B10" s="213" t="s">
        <v>17</v>
      </c>
      <c r="C10" s="91" t="s">
        <v>18</v>
      </c>
      <c r="D10" s="91" t="s">
        <v>67</v>
      </c>
      <c r="E10" s="91" t="s">
        <v>68</v>
      </c>
      <c r="F10" s="214">
        <v>50</v>
      </c>
    </row>
    <row r="11" spans="2:6">
      <c r="B11" s="213" t="s">
        <v>17</v>
      </c>
      <c r="C11" s="91" t="s">
        <v>18</v>
      </c>
      <c r="D11" s="91" t="s">
        <v>59</v>
      </c>
      <c r="E11" s="91" t="s">
        <v>104</v>
      </c>
      <c r="F11" s="214">
        <v>271</v>
      </c>
    </row>
    <row r="12" spans="2:6">
      <c r="B12" s="213" t="s">
        <v>17</v>
      </c>
      <c r="C12" s="91" t="s">
        <v>18</v>
      </c>
      <c r="D12" s="91" t="s">
        <v>128</v>
      </c>
      <c r="E12" s="91" t="s">
        <v>250</v>
      </c>
      <c r="F12" s="214">
        <v>20</v>
      </c>
    </row>
    <row r="13" spans="2:6">
      <c r="B13" s="213" t="s">
        <v>17</v>
      </c>
      <c r="C13" s="91" t="s">
        <v>18</v>
      </c>
      <c r="D13" s="91" t="s">
        <v>221</v>
      </c>
      <c r="E13" s="91" t="s">
        <v>230</v>
      </c>
      <c r="F13" s="214">
        <v>146</v>
      </c>
    </row>
    <row r="14" spans="2:6">
      <c r="B14" s="213" t="s">
        <v>17</v>
      </c>
      <c r="C14" s="91" t="s">
        <v>18</v>
      </c>
      <c r="D14" s="91" t="s">
        <v>251</v>
      </c>
      <c r="E14" s="91" t="s">
        <v>252</v>
      </c>
      <c r="F14" s="214">
        <v>360</v>
      </c>
    </row>
    <row r="15" spans="2:6">
      <c r="B15" s="213" t="s">
        <v>17</v>
      </c>
      <c r="C15" s="91" t="s">
        <v>18</v>
      </c>
      <c r="D15" s="91" t="s">
        <v>253</v>
      </c>
      <c r="E15" s="91" t="s">
        <v>254</v>
      </c>
      <c r="F15" s="214">
        <v>451</v>
      </c>
    </row>
    <row r="16" spans="2:6">
      <c r="B16" s="213" t="s">
        <v>17</v>
      </c>
      <c r="C16" s="91" t="s">
        <v>6</v>
      </c>
      <c r="D16" s="91" t="s">
        <v>23</v>
      </c>
      <c r="E16" s="91" t="s">
        <v>24</v>
      </c>
      <c r="F16" s="214">
        <v>25</v>
      </c>
    </row>
    <row r="17" spans="2:7">
      <c r="B17" s="213" t="s">
        <v>17</v>
      </c>
      <c r="C17" s="91" t="s">
        <v>6</v>
      </c>
      <c r="D17" s="91" t="s">
        <v>25</v>
      </c>
      <c r="E17" s="91" t="s">
        <v>26</v>
      </c>
      <c r="F17" s="214">
        <v>40</v>
      </c>
    </row>
    <row r="18" spans="2:7" ht="17" thickBot="1">
      <c r="B18" s="215" t="s">
        <v>17</v>
      </c>
      <c r="C18" s="216" t="s">
        <v>6</v>
      </c>
      <c r="D18" s="216" t="s">
        <v>109</v>
      </c>
      <c r="E18" s="216" t="s">
        <v>110</v>
      </c>
      <c r="F18" s="217">
        <v>22</v>
      </c>
    </row>
    <row r="19" spans="2:7">
      <c r="B19" s="139" t="s">
        <v>27</v>
      </c>
      <c r="C19" s="140" t="s">
        <v>18</v>
      </c>
      <c r="D19" s="140" t="s">
        <v>53</v>
      </c>
      <c r="E19" s="140" t="s">
        <v>123</v>
      </c>
      <c r="F19" s="141">
        <v>73</v>
      </c>
    </row>
    <row r="20" spans="2:7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588</v>
      </c>
    </row>
    <row r="21" spans="2:7">
      <c r="B21" s="102" t="s">
        <v>27</v>
      </c>
      <c r="C21" s="103" t="s">
        <v>18</v>
      </c>
      <c r="D21" s="103" t="s">
        <v>63</v>
      </c>
      <c r="E21" s="103" t="s">
        <v>64</v>
      </c>
      <c r="F21" s="104">
        <v>11</v>
      </c>
    </row>
    <row r="22" spans="2:7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50</v>
      </c>
    </row>
    <row r="23" spans="2:7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558</v>
      </c>
    </row>
    <row r="24" spans="2:7">
      <c r="B24" s="102" t="s">
        <v>27</v>
      </c>
      <c r="C24" s="103" t="s">
        <v>6</v>
      </c>
      <c r="D24" s="103" t="s">
        <v>28</v>
      </c>
      <c r="E24" s="103" t="s">
        <v>29</v>
      </c>
      <c r="F24" s="104">
        <v>99</v>
      </c>
    </row>
    <row r="25" spans="2:7">
      <c r="B25" s="102" t="s">
        <v>27</v>
      </c>
      <c r="C25" s="103" t="s">
        <v>6</v>
      </c>
      <c r="D25" s="103" t="s">
        <v>32</v>
      </c>
      <c r="E25" s="103" t="s">
        <v>33</v>
      </c>
      <c r="F25" s="104">
        <v>249</v>
      </c>
    </row>
    <row r="26" spans="2:7">
      <c r="B26" s="102" t="s">
        <v>27</v>
      </c>
      <c r="C26" s="103" t="s">
        <v>6</v>
      </c>
      <c r="D26" s="103" t="s">
        <v>34</v>
      </c>
      <c r="E26" s="103" t="s">
        <v>35</v>
      </c>
      <c r="F26" s="104">
        <v>30</v>
      </c>
    </row>
    <row r="27" spans="2:7">
      <c r="B27" s="102" t="s">
        <v>27</v>
      </c>
      <c r="C27" s="103" t="s">
        <v>6</v>
      </c>
      <c r="D27" s="103" t="s">
        <v>9</v>
      </c>
      <c r="E27" s="103" t="s">
        <v>105</v>
      </c>
      <c r="F27" s="104">
        <v>82</v>
      </c>
    </row>
    <row r="28" spans="2:7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20</v>
      </c>
    </row>
    <row r="29" spans="2:7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100</v>
      </c>
    </row>
    <row r="30" spans="2:7" ht="17" thickBot="1">
      <c r="B30" s="105" t="s">
        <v>27</v>
      </c>
      <c r="C30" s="106" t="s">
        <v>6</v>
      </c>
      <c r="D30" s="106" t="s">
        <v>262</v>
      </c>
      <c r="E30" s="106" t="s">
        <v>263</v>
      </c>
      <c r="F30" s="107">
        <v>66</v>
      </c>
    </row>
    <row r="31" spans="2:7">
      <c r="B31" s="122" t="s">
        <v>40</v>
      </c>
      <c r="C31" s="118" t="s">
        <v>18</v>
      </c>
      <c r="D31" s="118" t="s">
        <v>45</v>
      </c>
      <c r="E31" s="118" t="s">
        <v>46</v>
      </c>
      <c r="F31" s="123">
        <v>160</v>
      </c>
      <c r="G31" s="142" t="s">
        <v>266</v>
      </c>
    </row>
    <row r="32" spans="2:7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2282</v>
      </c>
      <c r="G32" s="142" t="s">
        <v>266</v>
      </c>
    </row>
    <row r="33" spans="2:7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127</v>
      </c>
      <c r="G33" s="142" t="s">
        <v>266</v>
      </c>
    </row>
    <row r="34" spans="2:7">
      <c r="B34" s="122" t="s">
        <v>40</v>
      </c>
      <c r="C34" s="118" t="s">
        <v>18</v>
      </c>
      <c r="D34" s="118" t="s">
        <v>255</v>
      </c>
      <c r="E34" s="118" t="s">
        <v>256</v>
      </c>
      <c r="F34" s="123">
        <v>736</v>
      </c>
      <c r="G34" s="142" t="s">
        <v>446</v>
      </c>
    </row>
    <row r="35" spans="2:7">
      <c r="B35" s="122" t="s">
        <v>40</v>
      </c>
      <c r="C35" s="118" t="s">
        <v>6</v>
      </c>
      <c r="D35" s="118" t="s">
        <v>113</v>
      </c>
      <c r="E35" s="118" t="s">
        <v>114</v>
      </c>
      <c r="F35" s="123">
        <v>125</v>
      </c>
      <c r="G35" s="142" t="s">
        <v>266</v>
      </c>
    </row>
    <row r="36" spans="2:7" ht="17" thickBot="1">
      <c r="B36" s="124" t="s">
        <v>40</v>
      </c>
      <c r="C36" s="125" t="s">
        <v>6</v>
      </c>
      <c r="D36" s="125" t="s">
        <v>223</v>
      </c>
      <c r="E36" s="125" t="s">
        <v>232</v>
      </c>
      <c r="F36" s="126">
        <v>1000</v>
      </c>
      <c r="G36" s="142" t="s">
        <v>266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428F-F319-0E4F-81DE-D03376BF0D42}">
  <dimension ref="B3:F27"/>
  <sheetViews>
    <sheetView showGridLines="0" workbookViewId="0">
      <selection activeCell="B4" sqref="B4:F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2122</v>
      </c>
    </row>
    <row r="6" spans="2:6">
      <c r="B6" s="213" t="s">
        <v>17</v>
      </c>
      <c r="C6" s="91" t="s">
        <v>18</v>
      </c>
      <c r="D6" s="91" t="s">
        <v>19</v>
      </c>
      <c r="E6" s="91" t="s">
        <v>20</v>
      </c>
      <c r="F6" s="214">
        <v>110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50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59</v>
      </c>
    </row>
    <row r="9" spans="2:6">
      <c r="B9" s="213" t="s">
        <v>17</v>
      </c>
      <c r="C9" s="91" t="s">
        <v>6</v>
      </c>
      <c r="D9" s="91" t="s">
        <v>55</v>
      </c>
      <c r="E9" s="91" t="s">
        <v>56</v>
      </c>
      <c r="F9" s="214">
        <v>236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117</v>
      </c>
    </row>
    <row r="11" spans="2:6">
      <c r="B11" s="213" t="s">
        <v>17</v>
      </c>
      <c r="C11" s="91" t="s">
        <v>6</v>
      </c>
      <c r="D11" s="91" t="s">
        <v>109</v>
      </c>
      <c r="E11" s="91" t="s">
        <v>110</v>
      </c>
      <c r="F11" s="214">
        <v>60</v>
      </c>
    </row>
    <row r="12" spans="2:6">
      <c r="B12" s="213" t="s">
        <v>17</v>
      </c>
      <c r="C12" s="91" t="s">
        <v>6</v>
      </c>
      <c r="D12" s="91" t="s">
        <v>59</v>
      </c>
      <c r="E12" s="91" t="s">
        <v>104</v>
      </c>
      <c r="F12" s="214">
        <v>113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5</v>
      </c>
    </row>
    <row r="14" spans="2:6" ht="17" thickBot="1">
      <c r="B14" s="215" t="s">
        <v>17</v>
      </c>
      <c r="C14" s="216" t="s">
        <v>6</v>
      </c>
      <c r="D14" s="216" t="s">
        <v>251</v>
      </c>
      <c r="E14" s="216" t="s">
        <v>252</v>
      </c>
      <c r="F14" s="217">
        <v>85</v>
      </c>
    </row>
    <row r="15" spans="2:6">
      <c r="B15" s="218" t="s">
        <v>27</v>
      </c>
      <c r="C15" s="219" t="s">
        <v>18</v>
      </c>
      <c r="D15" s="219" t="s">
        <v>61</v>
      </c>
      <c r="E15" s="219" t="s">
        <v>62</v>
      </c>
      <c r="F15" s="220">
        <v>0</v>
      </c>
    </row>
    <row r="16" spans="2:6">
      <c r="B16" s="221" t="s">
        <v>27</v>
      </c>
      <c r="C16" s="103" t="s">
        <v>18</v>
      </c>
      <c r="D16" s="103" t="s">
        <v>224</v>
      </c>
      <c r="E16" s="103" t="s">
        <v>447</v>
      </c>
      <c r="F16" s="222">
        <v>48</v>
      </c>
    </row>
    <row r="17" spans="2:6">
      <c r="B17" s="221" t="s">
        <v>27</v>
      </c>
      <c r="C17" s="103" t="s">
        <v>18</v>
      </c>
      <c r="D17" s="103" t="s">
        <v>32</v>
      </c>
      <c r="E17" s="103" t="s">
        <v>33</v>
      </c>
      <c r="F17" s="222">
        <v>908</v>
      </c>
    </row>
    <row r="18" spans="2:6">
      <c r="B18" s="221" t="s">
        <v>27</v>
      </c>
      <c r="C18" s="103" t="s">
        <v>18</v>
      </c>
      <c r="D18" s="103" t="s">
        <v>34</v>
      </c>
      <c r="E18" s="103" t="s">
        <v>35</v>
      </c>
      <c r="F18" s="222">
        <v>354</v>
      </c>
    </row>
    <row r="19" spans="2:6">
      <c r="B19" s="221" t="s">
        <v>27</v>
      </c>
      <c r="C19" s="103" t="s">
        <v>18</v>
      </c>
      <c r="D19" s="103" t="s">
        <v>36</v>
      </c>
      <c r="E19" s="103" t="s">
        <v>37</v>
      </c>
      <c r="F19" s="222">
        <v>1406</v>
      </c>
    </row>
    <row r="20" spans="2:6">
      <c r="B20" s="221" t="s">
        <v>27</v>
      </c>
      <c r="C20" s="103" t="s">
        <v>6</v>
      </c>
      <c r="D20" s="103" t="s">
        <v>30</v>
      </c>
      <c r="E20" s="103" t="s">
        <v>31</v>
      </c>
      <c r="F20" s="222">
        <v>350</v>
      </c>
    </row>
    <row r="21" spans="2:6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586</v>
      </c>
    </row>
    <row r="22" spans="2:6">
      <c r="B22" s="221" t="s">
        <v>27</v>
      </c>
      <c r="C22" s="103" t="s">
        <v>6</v>
      </c>
      <c r="D22" s="103" t="s">
        <v>63</v>
      </c>
      <c r="E22" s="103" t="s">
        <v>64</v>
      </c>
      <c r="F22" s="222">
        <v>64</v>
      </c>
    </row>
    <row r="23" spans="2:6" ht="17" thickBot="1">
      <c r="B23" s="223" t="s">
        <v>27</v>
      </c>
      <c r="C23" s="224" t="s">
        <v>6</v>
      </c>
      <c r="D23" s="224" t="s">
        <v>262</v>
      </c>
      <c r="E23" s="224" t="s">
        <v>263</v>
      </c>
      <c r="F23" s="225">
        <v>55</v>
      </c>
    </row>
    <row r="24" spans="2:6">
      <c r="B24" s="226" t="s">
        <v>40</v>
      </c>
      <c r="C24" s="227" t="s">
        <v>18</v>
      </c>
      <c r="D24" s="227" t="s">
        <v>130</v>
      </c>
      <c r="E24" s="227" t="s">
        <v>131</v>
      </c>
      <c r="F24" s="228">
        <v>0</v>
      </c>
    </row>
    <row r="25" spans="2:6">
      <c r="B25" s="229" t="s">
        <v>40</v>
      </c>
      <c r="C25" s="118" t="s">
        <v>18</v>
      </c>
      <c r="D25" s="118" t="s">
        <v>257</v>
      </c>
      <c r="E25" s="118" t="s">
        <v>258</v>
      </c>
      <c r="F25" s="230">
        <v>50</v>
      </c>
    </row>
    <row r="26" spans="2:6">
      <c r="B26" s="229" t="s">
        <v>40</v>
      </c>
      <c r="C26" s="118" t="s">
        <v>6</v>
      </c>
      <c r="D26" s="118" t="s">
        <v>45</v>
      </c>
      <c r="E26" s="118" t="s">
        <v>46</v>
      </c>
      <c r="F26" s="230">
        <v>141</v>
      </c>
    </row>
    <row r="27" spans="2:6" ht="17" thickBot="1">
      <c r="B27" s="231" t="s">
        <v>40</v>
      </c>
      <c r="C27" s="232" t="s">
        <v>6</v>
      </c>
      <c r="D27" s="232" t="s">
        <v>11</v>
      </c>
      <c r="E27" s="232" t="s">
        <v>122</v>
      </c>
      <c r="F27" s="233">
        <v>499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1316-A5EE-8F48-8AC8-6791C309C0A0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55</v>
      </c>
      <c r="E5" s="211" t="s">
        <v>56</v>
      </c>
      <c r="F5" s="212">
        <v>0</v>
      </c>
    </row>
    <row r="6" spans="2:6">
      <c r="B6" s="213" t="s">
        <v>17</v>
      </c>
      <c r="C6" s="91" t="s">
        <v>18</v>
      </c>
      <c r="D6" s="91" t="s">
        <v>43</v>
      </c>
      <c r="E6" s="91" t="s">
        <v>456</v>
      </c>
      <c r="F6" s="214">
        <v>80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14</v>
      </c>
    </row>
    <row r="8" spans="2:6">
      <c r="B8" s="213" t="s">
        <v>17</v>
      </c>
      <c r="C8" s="91" t="s">
        <v>18</v>
      </c>
      <c r="D8" s="91" t="s">
        <v>25</v>
      </c>
      <c r="E8" s="91" t="s">
        <v>26</v>
      </c>
      <c r="F8" s="214">
        <v>0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186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345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165</v>
      </c>
    </row>
    <row r="12" spans="2:6">
      <c r="B12" s="213" t="s">
        <v>17</v>
      </c>
      <c r="C12" s="91" t="s">
        <v>6</v>
      </c>
      <c r="D12" s="91" t="s">
        <v>21</v>
      </c>
      <c r="E12" s="91" t="s">
        <v>22</v>
      </c>
      <c r="F12" s="214">
        <v>224</v>
      </c>
    </row>
    <row r="13" spans="2:6">
      <c r="B13" s="213" t="s">
        <v>17</v>
      </c>
      <c r="C13" s="91" t="s">
        <v>6</v>
      </c>
      <c r="D13" s="91" t="s">
        <v>51</v>
      </c>
      <c r="E13" s="91" t="s">
        <v>456</v>
      </c>
      <c r="F13" s="214">
        <v>55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15</v>
      </c>
    </row>
    <row r="15" spans="2:6">
      <c r="B15" s="213" t="s">
        <v>17</v>
      </c>
      <c r="C15" s="91" t="s">
        <v>6</v>
      </c>
      <c r="D15" s="91" t="s">
        <v>109</v>
      </c>
      <c r="E15" s="91" t="s">
        <v>110</v>
      </c>
      <c r="F15" s="214">
        <v>24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158</v>
      </c>
    </row>
    <row r="17" spans="2:6">
      <c r="B17" s="213" t="s">
        <v>17</v>
      </c>
      <c r="C17" s="91" t="s">
        <v>6</v>
      </c>
      <c r="D17" s="91" t="s">
        <v>251</v>
      </c>
      <c r="E17" s="91" t="s">
        <v>252</v>
      </c>
      <c r="F17" s="214">
        <v>44</v>
      </c>
    </row>
    <row r="18" spans="2:6" ht="17" thickBot="1">
      <c r="B18" s="215" t="s">
        <v>17</v>
      </c>
      <c r="C18" s="216" t="s">
        <v>6</v>
      </c>
      <c r="D18" s="216" t="s">
        <v>253</v>
      </c>
      <c r="E18" s="216" t="s">
        <v>254</v>
      </c>
      <c r="F18" s="217">
        <v>84</v>
      </c>
    </row>
    <row r="19" spans="2:6">
      <c r="B19" s="221" t="s">
        <v>27</v>
      </c>
      <c r="C19" s="103" t="s">
        <v>18</v>
      </c>
      <c r="D19" s="103" t="s">
        <v>30</v>
      </c>
      <c r="E19" s="103" t="s">
        <v>31</v>
      </c>
      <c r="F19" s="222">
        <v>659</v>
      </c>
    </row>
    <row r="20" spans="2:6">
      <c r="B20" s="221" t="s">
        <v>27</v>
      </c>
      <c r="C20" s="103" t="s">
        <v>18</v>
      </c>
      <c r="D20" s="103" t="s">
        <v>28</v>
      </c>
      <c r="E20" s="103" t="s">
        <v>29</v>
      </c>
      <c r="F20" s="222">
        <v>165</v>
      </c>
    </row>
    <row r="21" spans="2:6">
      <c r="B21" s="221" t="s">
        <v>27</v>
      </c>
      <c r="C21" s="103" t="s">
        <v>6</v>
      </c>
      <c r="D21" s="103" t="s">
        <v>7</v>
      </c>
      <c r="E21" s="103" t="s">
        <v>456</v>
      </c>
      <c r="F21" s="222">
        <v>30</v>
      </c>
    </row>
    <row r="22" spans="2:6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223</v>
      </c>
    </row>
    <row r="23" spans="2:6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</row>
    <row r="24" spans="2:6">
      <c r="B24" s="221" t="s">
        <v>27</v>
      </c>
      <c r="C24" s="103" t="s">
        <v>6</v>
      </c>
      <c r="D24" s="103" t="s">
        <v>53</v>
      </c>
      <c r="E24" s="103" t="s">
        <v>123</v>
      </c>
      <c r="F24" s="222">
        <v>25</v>
      </c>
    </row>
    <row r="25" spans="2:6">
      <c r="B25" s="221" t="s">
        <v>27</v>
      </c>
      <c r="C25" s="103" t="s">
        <v>6</v>
      </c>
      <c r="D25" s="103" t="s">
        <v>36</v>
      </c>
      <c r="E25" s="103" t="s">
        <v>37</v>
      </c>
      <c r="F25" s="222">
        <v>203</v>
      </c>
    </row>
    <row r="26" spans="2:6">
      <c r="B26" s="221" t="s">
        <v>27</v>
      </c>
      <c r="C26" s="103" t="s">
        <v>6</v>
      </c>
      <c r="D26" s="103" t="s">
        <v>63</v>
      </c>
      <c r="E26" s="103" t="s">
        <v>64</v>
      </c>
      <c r="F26" s="222">
        <v>23</v>
      </c>
    </row>
    <row r="27" spans="2:6">
      <c r="B27" s="221" t="s">
        <v>27</v>
      </c>
      <c r="C27" s="103" t="s">
        <v>6</v>
      </c>
      <c r="D27" s="103" t="s">
        <v>81</v>
      </c>
      <c r="E27" s="103" t="s">
        <v>82</v>
      </c>
      <c r="F27" s="222">
        <v>22</v>
      </c>
    </row>
    <row r="28" spans="2:6" ht="17" thickBot="1">
      <c r="B28" s="223" t="s">
        <v>27</v>
      </c>
      <c r="C28" s="224" t="s">
        <v>6</v>
      </c>
      <c r="D28" s="224" t="s">
        <v>13</v>
      </c>
      <c r="E28" s="224" t="s">
        <v>119</v>
      </c>
      <c r="F28" s="225">
        <v>46</v>
      </c>
    </row>
    <row r="29" spans="2:6">
      <c r="B29" s="226" t="s">
        <v>40</v>
      </c>
      <c r="C29" s="227" t="s">
        <v>18</v>
      </c>
      <c r="D29" s="227" t="s">
        <v>257</v>
      </c>
      <c r="E29" s="227" t="s">
        <v>258</v>
      </c>
      <c r="F29" s="228">
        <v>0</v>
      </c>
    </row>
    <row r="30" spans="2:6">
      <c r="B30" s="229" t="s">
        <v>40</v>
      </c>
      <c r="C30" s="118" t="s">
        <v>6</v>
      </c>
      <c r="D30" s="118" t="s">
        <v>45</v>
      </c>
      <c r="E30" s="118" t="s">
        <v>46</v>
      </c>
      <c r="F30" s="230">
        <v>266</v>
      </c>
    </row>
    <row r="31" spans="2:6">
      <c r="B31" s="229" t="s">
        <v>40</v>
      </c>
      <c r="C31" s="118" t="s">
        <v>6</v>
      </c>
      <c r="D31" s="118" t="s">
        <v>113</v>
      </c>
      <c r="E31" s="118" t="s">
        <v>114</v>
      </c>
      <c r="F31" s="230">
        <v>138</v>
      </c>
    </row>
    <row r="32" spans="2:6">
      <c r="B32" s="229" t="s">
        <v>40</v>
      </c>
      <c r="C32" s="118" t="s">
        <v>6</v>
      </c>
      <c r="D32" s="118" t="s">
        <v>11</v>
      </c>
      <c r="E32" s="118" t="s">
        <v>122</v>
      </c>
      <c r="F32" s="230">
        <v>500</v>
      </c>
    </row>
    <row r="33" spans="2:6" ht="17" thickBot="1">
      <c r="B33" s="231" t="s">
        <v>40</v>
      </c>
      <c r="C33" s="232" t="s">
        <v>6</v>
      </c>
      <c r="D33" s="232" t="s">
        <v>130</v>
      </c>
      <c r="E33" s="232" t="s">
        <v>131</v>
      </c>
      <c r="F33" s="233">
        <v>475</v>
      </c>
    </row>
  </sheetData>
  <sortState xmlns:xlrd2="http://schemas.microsoft.com/office/spreadsheetml/2017/richdata2" ref="B5:F33">
    <sortCondition ref="B5:B33"/>
    <sortCondition ref="C5:C33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AFF1-152E-404B-944F-0BB786389637}">
  <dimension ref="B3:F35"/>
  <sheetViews>
    <sheetView showGridLines="0" topLeftCell="A12" workbookViewId="0">
      <selection activeCell="B4" sqref="B4:F3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160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0</v>
      </c>
    </row>
    <row r="7" spans="2:6">
      <c r="B7" s="213" t="s">
        <v>17</v>
      </c>
      <c r="C7" s="91" t="s">
        <v>18</v>
      </c>
      <c r="D7" s="91" t="s">
        <v>51</v>
      </c>
      <c r="E7" s="91" t="s">
        <v>460</v>
      </c>
      <c r="F7" s="214">
        <v>120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173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83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70</v>
      </c>
    </row>
    <row r="11" spans="2:6">
      <c r="B11" s="213" t="s">
        <v>17</v>
      </c>
      <c r="C11" s="91" t="s">
        <v>18</v>
      </c>
      <c r="D11" s="91" t="s">
        <v>251</v>
      </c>
      <c r="E11" s="91" t="s">
        <v>252</v>
      </c>
      <c r="F11" s="214">
        <v>78</v>
      </c>
    </row>
    <row r="12" spans="2:6">
      <c r="B12" s="213" t="s">
        <v>17</v>
      </c>
      <c r="C12" s="91" t="s">
        <v>18</v>
      </c>
      <c r="D12" s="91" t="s">
        <v>253</v>
      </c>
      <c r="E12" s="91" t="s">
        <v>254</v>
      </c>
      <c r="F12" s="214">
        <v>517</v>
      </c>
    </row>
    <row r="13" spans="2:6">
      <c r="B13" s="213" t="s">
        <v>17</v>
      </c>
      <c r="C13" s="91" t="s">
        <v>6</v>
      </c>
      <c r="D13" s="91" t="s">
        <v>55</v>
      </c>
      <c r="E13" s="91" t="s">
        <v>56</v>
      </c>
      <c r="F13" s="214">
        <v>75</v>
      </c>
    </row>
    <row r="14" spans="2:6">
      <c r="B14" s="213" t="s">
        <v>17</v>
      </c>
      <c r="C14" s="91" t="s">
        <v>6</v>
      </c>
      <c r="D14" s="91" t="s">
        <v>23</v>
      </c>
      <c r="E14" s="91" t="s">
        <v>24</v>
      </c>
      <c r="F14" s="214">
        <v>94</v>
      </c>
    </row>
    <row r="15" spans="2:6">
      <c r="B15" s="213" t="s">
        <v>17</v>
      </c>
      <c r="C15" s="91" t="s">
        <v>6</v>
      </c>
      <c r="D15" s="91" t="s">
        <v>25</v>
      </c>
      <c r="E15" s="91" t="s">
        <v>26</v>
      </c>
      <c r="F15" s="214">
        <v>29</v>
      </c>
    </row>
    <row r="16" spans="2:6">
      <c r="B16" s="213" t="s">
        <v>17</v>
      </c>
      <c r="C16" s="91" t="s">
        <v>6</v>
      </c>
      <c r="D16" s="91" t="s">
        <v>109</v>
      </c>
      <c r="E16" s="91" t="s">
        <v>110</v>
      </c>
      <c r="F16" s="214">
        <v>45</v>
      </c>
    </row>
    <row r="17" spans="2:6">
      <c r="B17" s="213" t="s">
        <v>17</v>
      </c>
      <c r="C17" s="91" t="s">
        <v>6</v>
      </c>
      <c r="D17" s="91" t="s">
        <v>59</v>
      </c>
      <c r="E17" s="91" t="s">
        <v>104</v>
      </c>
      <c r="F17" s="214">
        <v>85</v>
      </c>
    </row>
    <row r="18" spans="2:6" ht="17" thickBot="1">
      <c r="B18" s="215" t="s">
        <v>17</v>
      </c>
      <c r="C18" s="216" t="s">
        <v>6</v>
      </c>
      <c r="D18" s="216" t="s">
        <v>221</v>
      </c>
      <c r="E18" s="216" t="s">
        <v>230</v>
      </c>
      <c r="F18" s="217">
        <v>111</v>
      </c>
    </row>
    <row r="19" spans="2:6">
      <c r="B19" s="221" t="s">
        <v>27</v>
      </c>
      <c r="C19" s="103" t="s">
        <v>18</v>
      </c>
      <c r="D19" s="103" t="s">
        <v>28</v>
      </c>
      <c r="E19" s="103" t="s">
        <v>29</v>
      </c>
      <c r="F19" s="222">
        <v>291</v>
      </c>
    </row>
    <row r="20" spans="2:6">
      <c r="B20" s="221" t="s">
        <v>27</v>
      </c>
      <c r="C20" s="103" t="s">
        <v>18</v>
      </c>
      <c r="D20" s="103" t="s">
        <v>32</v>
      </c>
      <c r="E20" s="103" t="s">
        <v>33</v>
      </c>
      <c r="F20" s="222">
        <v>38</v>
      </c>
    </row>
    <row r="21" spans="2:6">
      <c r="B21" s="221" t="s">
        <v>27</v>
      </c>
      <c r="C21" s="103" t="s">
        <v>18</v>
      </c>
      <c r="D21" s="103" t="s">
        <v>34</v>
      </c>
      <c r="E21" s="103" t="s">
        <v>35</v>
      </c>
      <c r="F21" s="222">
        <v>100</v>
      </c>
    </row>
    <row r="22" spans="2:6">
      <c r="B22" s="221" t="s">
        <v>27</v>
      </c>
      <c r="C22" s="103" t="s">
        <v>18</v>
      </c>
      <c r="D22" s="103" t="s">
        <v>53</v>
      </c>
      <c r="E22" s="103" t="s">
        <v>123</v>
      </c>
      <c r="F22" s="222">
        <v>17</v>
      </c>
    </row>
    <row r="23" spans="2:6">
      <c r="B23" s="221" t="s">
        <v>27</v>
      </c>
      <c r="C23" s="103" t="s">
        <v>18</v>
      </c>
      <c r="D23" s="103" t="s">
        <v>36</v>
      </c>
      <c r="E23" s="103" t="s">
        <v>37</v>
      </c>
      <c r="F23" s="222">
        <v>355</v>
      </c>
    </row>
    <row r="24" spans="2:6">
      <c r="B24" s="221" t="s">
        <v>27</v>
      </c>
      <c r="C24" s="103" t="s">
        <v>18</v>
      </c>
      <c r="D24" s="103" t="s">
        <v>63</v>
      </c>
      <c r="E24" s="103" t="s">
        <v>64</v>
      </c>
      <c r="F24" s="222">
        <v>70</v>
      </c>
    </row>
    <row r="25" spans="2:6">
      <c r="B25" s="221" t="s">
        <v>27</v>
      </c>
      <c r="C25" s="103" t="s">
        <v>18</v>
      </c>
      <c r="D25" s="103" t="s">
        <v>13</v>
      </c>
      <c r="E25" s="103" t="s">
        <v>119</v>
      </c>
      <c r="F25" s="222">
        <v>119</v>
      </c>
    </row>
    <row r="26" spans="2:6">
      <c r="B26" s="221" t="s">
        <v>27</v>
      </c>
      <c r="C26" s="103" t="s">
        <v>18</v>
      </c>
      <c r="D26" s="103" t="s">
        <v>262</v>
      </c>
      <c r="E26" s="103" t="s">
        <v>263</v>
      </c>
      <c r="F26" s="222">
        <v>95</v>
      </c>
    </row>
    <row r="27" spans="2:6">
      <c r="B27" s="221" t="s">
        <v>27</v>
      </c>
      <c r="C27" s="103" t="s">
        <v>6</v>
      </c>
      <c r="D27" s="103" t="s">
        <v>30</v>
      </c>
      <c r="E27" s="103" t="s">
        <v>31</v>
      </c>
      <c r="F27" s="222">
        <v>1477.8</v>
      </c>
    </row>
    <row r="28" spans="2:6">
      <c r="B28" s="221" t="s">
        <v>27</v>
      </c>
      <c r="C28" s="103" t="s">
        <v>6</v>
      </c>
      <c r="D28" s="103" t="s">
        <v>7</v>
      </c>
      <c r="E28" s="103" t="s">
        <v>461</v>
      </c>
      <c r="F28" s="222">
        <v>140</v>
      </c>
    </row>
    <row r="29" spans="2:6">
      <c r="B29" s="221" t="s">
        <v>27</v>
      </c>
      <c r="C29" s="103" t="s">
        <v>6</v>
      </c>
      <c r="D29" s="103" t="s">
        <v>9</v>
      </c>
      <c r="E29" s="103" t="s">
        <v>105</v>
      </c>
      <c r="F29" s="222">
        <v>100</v>
      </c>
    </row>
    <row r="30" spans="2:6" ht="17" thickBot="1">
      <c r="B30" s="223" t="s">
        <v>27</v>
      </c>
      <c r="C30" s="224" t="s">
        <v>6</v>
      </c>
      <c r="D30" s="224" t="s">
        <v>81</v>
      </c>
      <c r="E30" s="224" t="s">
        <v>82</v>
      </c>
      <c r="F30" s="225">
        <v>50</v>
      </c>
    </row>
    <row r="31" spans="2:6">
      <c r="B31" s="229" t="s">
        <v>40</v>
      </c>
      <c r="C31" s="118" t="s">
        <v>18</v>
      </c>
      <c r="D31" s="118" t="s">
        <v>45</v>
      </c>
      <c r="E31" s="118" t="s">
        <v>46</v>
      </c>
      <c r="F31" s="230">
        <v>113</v>
      </c>
    </row>
    <row r="32" spans="2:6">
      <c r="B32" s="229" t="s">
        <v>40</v>
      </c>
      <c r="C32" s="118" t="s">
        <v>18</v>
      </c>
      <c r="D32" s="118" t="s">
        <v>65</v>
      </c>
      <c r="E32" s="118" t="s">
        <v>66</v>
      </c>
      <c r="F32" s="230">
        <v>25</v>
      </c>
    </row>
    <row r="33" spans="2:6">
      <c r="B33" s="229" t="s">
        <v>40</v>
      </c>
      <c r="C33" s="118" t="s">
        <v>6</v>
      </c>
      <c r="D33" s="118" t="s">
        <v>11</v>
      </c>
      <c r="E33" s="118" t="s">
        <v>122</v>
      </c>
      <c r="F33" s="230">
        <v>499</v>
      </c>
    </row>
    <row r="34" spans="2:6">
      <c r="B34" s="229" t="s">
        <v>40</v>
      </c>
      <c r="C34" s="118" t="s">
        <v>6</v>
      </c>
      <c r="D34" s="118" t="s">
        <v>130</v>
      </c>
      <c r="E34" s="118" t="s">
        <v>131</v>
      </c>
      <c r="F34" s="230">
        <v>230</v>
      </c>
    </row>
    <row r="35" spans="2:6" ht="17" thickBot="1">
      <c r="B35" s="231" t="s">
        <v>40</v>
      </c>
      <c r="C35" s="232" t="s">
        <v>6</v>
      </c>
      <c r="D35" s="232" t="s">
        <v>257</v>
      </c>
      <c r="E35" s="232" t="s">
        <v>258</v>
      </c>
      <c r="F35" s="233">
        <v>35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25DF-52D4-AE4D-BDF3-791DC2822D2E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135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36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35</v>
      </c>
    </row>
    <row r="8" spans="2:6">
      <c r="B8" s="213" t="s">
        <v>17</v>
      </c>
      <c r="C8" s="91" t="s">
        <v>18</v>
      </c>
      <c r="D8" s="91" t="s">
        <v>109</v>
      </c>
      <c r="E8" s="91" t="s">
        <v>110</v>
      </c>
      <c r="F8" s="214">
        <v>3</v>
      </c>
    </row>
    <row r="9" spans="2:6">
      <c r="B9" s="213" t="s">
        <v>17</v>
      </c>
      <c r="C9" s="91" t="s">
        <v>6</v>
      </c>
      <c r="D9" s="91" t="s">
        <v>51</v>
      </c>
      <c r="E9" s="91" t="s">
        <v>460</v>
      </c>
      <c r="F9" s="214">
        <v>30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30</v>
      </c>
    </row>
    <row r="11" spans="2:6">
      <c r="B11" s="213" t="s">
        <v>17</v>
      </c>
      <c r="C11" s="91" t="s">
        <v>6</v>
      </c>
      <c r="D11" s="91" t="s">
        <v>19</v>
      </c>
      <c r="E11" s="91" t="s">
        <v>20</v>
      </c>
      <c r="F11" s="214">
        <v>79</v>
      </c>
    </row>
    <row r="12" spans="2:6">
      <c r="B12" s="213" t="s">
        <v>17</v>
      </c>
      <c r="C12" s="91" t="s">
        <v>6</v>
      </c>
      <c r="D12" s="91" t="s">
        <v>128</v>
      </c>
      <c r="E12" s="91" t="s">
        <v>250</v>
      </c>
      <c r="F12" s="214">
        <v>98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163</v>
      </c>
    </row>
    <row r="14" spans="2:6">
      <c r="B14" s="213" t="s">
        <v>17</v>
      </c>
      <c r="C14" s="91" t="s">
        <v>6</v>
      </c>
      <c r="D14" s="91" t="s">
        <v>251</v>
      </c>
      <c r="E14" s="91" t="s">
        <v>252</v>
      </c>
      <c r="F14" s="214">
        <v>66</v>
      </c>
    </row>
    <row r="15" spans="2:6" ht="17" thickBot="1">
      <c r="B15" s="265" t="s">
        <v>17</v>
      </c>
      <c r="C15" s="113" t="s">
        <v>6</v>
      </c>
      <c r="D15" s="113" t="s">
        <v>253</v>
      </c>
      <c r="E15" s="113" t="s">
        <v>254</v>
      </c>
      <c r="F15" s="266">
        <v>803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33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0</v>
      </c>
    </row>
    <row r="19" spans="2:6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6">
      <c r="B20" s="102" t="s">
        <v>27</v>
      </c>
      <c r="C20" s="103" t="s">
        <v>6</v>
      </c>
      <c r="D20" s="103" t="s">
        <v>30</v>
      </c>
      <c r="E20" s="103" t="s">
        <v>31</v>
      </c>
      <c r="F20" s="104">
        <v>75</v>
      </c>
    </row>
    <row r="21" spans="2:6">
      <c r="B21" s="102" t="s">
        <v>27</v>
      </c>
      <c r="C21" s="103" t="s">
        <v>6</v>
      </c>
      <c r="D21" s="103" t="s">
        <v>7</v>
      </c>
      <c r="E21" s="103" t="s">
        <v>461</v>
      </c>
      <c r="F21" s="104">
        <v>15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115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19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316</v>
      </c>
    </row>
    <row r="25" spans="2:6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90</v>
      </c>
    </row>
    <row r="26" spans="2: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54</v>
      </c>
    </row>
    <row r="27" spans="2:6">
      <c r="B27" s="267" t="s">
        <v>40</v>
      </c>
      <c r="C27" s="134" t="s">
        <v>6</v>
      </c>
      <c r="D27" s="134" t="s">
        <v>45</v>
      </c>
      <c r="E27" s="134" t="s">
        <v>46</v>
      </c>
      <c r="F27" s="268">
        <v>177</v>
      </c>
    </row>
    <row r="28" spans="2:6">
      <c r="B28" s="229" t="s">
        <v>40</v>
      </c>
      <c r="C28" s="118" t="s">
        <v>6</v>
      </c>
      <c r="D28" s="118" t="s">
        <v>11</v>
      </c>
      <c r="E28" s="118" t="s">
        <v>122</v>
      </c>
      <c r="F28" s="230">
        <v>500</v>
      </c>
    </row>
    <row r="29" spans="2:6">
      <c r="B29" s="229" t="s">
        <v>40</v>
      </c>
      <c r="C29" s="118" t="s">
        <v>6</v>
      </c>
      <c r="D29" s="118" t="s">
        <v>130</v>
      </c>
      <c r="E29" s="118" t="s">
        <v>131</v>
      </c>
      <c r="F29" s="230">
        <v>107</v>
      </c>
    </row>
    <row r="30" spans="2:6" ht="17" thickBot="1">
      <c r="B30" s="231" t="s">
        <v>40</v>
      </c>
      <c r="C30" s="232" t="s">
        <v>6</v>
      </c>
      <c r="D30" s="232" t="s">
        <v>257</v>
      </c>
      <c r="E30" s="232" t="s">
        <v>258</v>
      </c>
      <c r="F30" s="233">
        <v>113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A1EC-08C0-4B4C-A4DC-A7D69C9669D0}">
  <dimension ref="B3:F25"/>
  <sheetViews>
    <sheetView showGridLines="0" workbookViewId="0">
      <selection activeCell="C4" sqref="C4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40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183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22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29</v>
      </c>
    </row>
    <row r="9" spans="2:6">
      <c r="B9" s="213" t="s">
        <v>17</v>
      </c>
      <c r="C9" s="91" t="s">
        <v>18</v>
      </c>
      <c r="D9" s="91" t="s">
        <v>253</v>
      </c>
      <c r="E9" s="91" t="s">
        <v>254</v>
      </c>
      <c r="F9" s="214">
        <v>389</v>
      </c>
    </row>
    <row r="10" spans="2:6">
      <c r="B10" s="265" t="s">
        <v>17</v>
      </c>
      <c r="C10" s="113" t="s">
        <v>6</v>
      </c>
      <c r="D10" s="113" t="s">
        <v>19</v>
      </c>
      <c r="E10" s="113" t="s">
        <v>20</v>
      </c>
      <c r="F10" s="266">
        <v>7</v>
      </c>
    </row>
    <row r="11" spans="2:6" ht="17" thickBot="1">
      <c r="B11" s="213" t="s">
        <v>17</v>
      </c>
      <c r="C11" s="91" t="s">
        <v>6</v>
      </c>
      <c r="D11" s="91" t="s">
        <v>67</v>
      </c>
      <c r="E11" s="91" t="s">
        <v>68</v>
      </c>
      <c r="F11" s="214">
        <v>115</v>
      </c>
    </row>
    <row r="12" spans="2:6">
      <c r="B12" s="99" t="s">
        <v>27</v>
      </c>
      <c r="C12" s="100" t="s">
        <v>18</v>
      </c>
      <c r="D12" s="100" t="s">
        <v>28</v>
      </c>
      <c r="E12" s="100" t="s">
        <v>29</v>
      </c>
      <c r="F12" s="101">
        <v>0</v>
      </c>
    </row>
    <row r="13" spans="2:6">
      <c r="B13" s="102" t="s">
        <v>27</v>
      </c>
      <c r="C13" s="103" t="s">
        <v>18</v>
      </c>
      <c r="D13" s="103" t="s">
        <v>32</v>
      </c>
      <c r="E13" s="103" t="s">
        <v>33</v>
      </c>
      <c r="F13" s="104">
        <v>12</v>
      </c>
    </row>
    <row r="14" spans="2:6">
      <c r="B14" s="102" t="s">
        <v>27</v>
      </c>
      <c r="C14" s="103" t="s">
        <v>18</v>
      </c>
      <c r="D14" s="103" t="s">
        <v>36</v>
      </c>
      <c r="E14" s="103" t="s">
        <v>37</v>
      </c>
      <c r="F14" s="104">
        <v>40</v>
      </c>
    </row>
    <row r="15" spans="2:6">
      <c r="B15" s="102" t="s">
        <v>27</v>
      </c>
      <c r="C15" s="103" t="s">
        <v>18</v>
      </c>
      <c r="D15" s="103" t="s">
        <v>47</v>
      </c>
      <c r="E15" s="103" t="s">
        <v>462</v>
      </c>
      <c r="F15" s="104">
        <v>2922</v>
      </c>
    </row>
    <row r="16" spans="2:6">
      <c r="B16" s="102" t="s">
        <v>27</v>
      </c>
      <c r="C16" s="103" t="s">
        <v>18</v>
      </c>
      <c r="D16" s="103" t="s">
        <v>63</v>
      </c>
      <c r="E16" s="103" t="s">
        <v>64</v>
      </c>
      <c r="F16" s="104">
        <v>20</v>
      </c>
    </row>
    <row r="17" spans="2:6">
      <c r="B17" s="102" t="s">
        <v>27</v>
      </c>
      <c r="C17" s="103" t="s">
        <v>18</v>
      </c>
      <c r="D17" s="103" t="s">
        <v>262</v>
      </c>
      <c r="E17" s="103" t="s">
        <v>263</v>
      </c>
      <c r="F17" s="104">
        <v>67</v>
      </c>
    </row>
    <row r="18" spans="2:6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100</v>
      </c>
    </row>
    <row r="19" spans="2:6">
      <c r="B19" s="102" t="s">
        <v>27</v>
      </c>
      <c r="C19" s="103" t="s">
        <v>6</v>
      </c>
      <c r="D19" s="103" t="s">
        <v>7</v>
      </c>
      <c r="E19" s="103" t="s">
        <v>461</v>
      </c>
      <c r="F19" s="104">
        <v>45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134</v>
      </c>
    </row>
    <row r="21" spans="2:6" ht="17" thickBot="1">
      <c r="B21" s="105" t="s">
        <v>27</v>
      </c>
      <c r="C21" s="106" t="s">
        <v>6</v>
      </c>
      <c r="D21" s="106" t="s">
        <v>81</v>
      </c>
      <c r="E21" s="106" t="s">
        <v>82</v>
      </c>
      <c r="F21" s="107">
        <v>25</v>
      </c>
    </row>
    <row r="22" spans="2:6">
      <c r="B22" s="267" t="s">
        <v>40</v>
      </c>
      <c r="C22" s="134" t="s">
        <v>6</v>
      </c>
      <c r="D22" s="134" t="s">
        <v>45</v>
      </c>
      <c r="E22" s="134" t="s">
        <v>46</v>
      </c>
      <c r="F22" s="268">
        <v>184</v>
      </c>
    </row>
    <row r="23" spans="2:6">
      <c r="B23" s="229" t="s">
        <v>40</v>
      </c>
      <c r="C23" s="118" t="s">
        <v>6</v>
      </c>
      <c r="D23" s="118" t="s">
        <v>113</v>
      </c>
      <c r="E23" s="118" t="s">
        <v>114</v>
      </c>
      <c r="F23" s="230">
        <v>15</v>
      </c>
    </row>
    <row r="24" spans="2:6">
      <c r="B24" s="229" t="s">
        <v>40</v>
      </c>
      <c r="C24" s="118" t="s">
        <v>6</v>
      </c>
      <c r="D24" s="118" t="s">
        <v>11</v>
      </c>
      <c r="E24" s="118" t="s">
        <v>122</v>
      </c>
      <c r="F24" s="230">
        <v>499</v>
      </c>
    </row>
    <row r="25" spans="2:6" ht="17" thickBot="1">
      <c r="B25" s="231" t="s">
        <v>40</v>
      </c>
      <c r="C25" s="232" t="s">
        <v>6</v>
      </c>
      <c r="D25" s="232" t="s">
        <v>130</v>
      </c>
      <c r="E25" s="232" t="s">
        <v>131</v>
      </c>
      <c r="F25" s="233">
        <v>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7893-2F03-AF4C-8DCB-519BDFFF8DE3}">
  <dimension ref="B3:F41"/>
  <sheetViews>
    <sheetView showGridLines="0" topLeftCell="A3" workbookViewId="0">
      <selection activeCell="N22" sqref="N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69" t="s">
        <v>0</v>
      </c>
      <c r="C4" s="270" t="s">
        <v>1</v>
      </c>
      <c r="D4" s="270" t="s">
        <v>2</v>
      </c>
      <c r="E4" s="270" t="s">
        <v>3</v>
      </c>
      <c r="F4" s="271" t="s">
        <v>4</v>
      </c>
    </row>
    <row r="5" spans="2:6">
      <c r="B5" s="87" t="s">
        <v>17</v>
      </c>
      <c r="C5" s="88" t="s">
        <v>18</v>
      </c>
      <c r="D5" s="88" t="s">
        <v>55</v>
      </c>
      <c r="E5" s="88" t="s">
        <v>56</v>
      </c>
      <c r="F5" s="89">
        <v>55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131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92">
        <v>100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12</v>
      </c>
    </row>
    <row r="10" spans="2:6">
      <c r="B10" s="112" t="s">
        <v>17</v>
      </c>
      <c r="C10" s="113" t="s">
        <v>18</v>
      </c>
      <c r="D10" s="113" t="s">
        <v>109</v>
      </c>
      <c r="E10" s="113" t="s">
        <v>110</v>
      </c>
      <c r="F10" s="114">
        <v>136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92">
        <v>300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92">
        <v>730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31</v>
      </c>
    </row>
    <row r="14" spans="2:6">
      <c r="B14" s="90" t="s">
        <v>17</v>
      </c>
      <c r="C14" s="91" t="s">
        <v>6</v>
      </c>
      <c r="D14" s="91" t="s">
        <v>57</v>
      </c>
      <c r="E14" s="91" t="s">
        <v>58</v>
      </c>
      <c r="F14" s="92">
        <v>75</v>
      </c>
    </row>
    <row r="15" spans="2:6">
      <c r="B15" s="112" t="s">
        <v>17</v>
      </c>
      <c r="C15" s="113" t="s">
        <v>6</v>
      </c>
      <c r="D15" s="113" t="s">
        <v>116</v>
      </c>
      <c r="E15" s="113" t="s">
        <v>117</v>
      </c>
      <c r="F15" s="114">
        <v>648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92">
        <v>466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126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15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477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27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55</v>
      </c>
    </row>
    <row r="22" spans="2:6" ht="17" thickBot="1">
      <c r="B22" s="93" t="s">
        <v>17</v>
      </c>
      <c r="C22" s="94" t="s">
        <v>6</v>
      </c>
      <c r="D22" s="94" t="s">
        <v>253</v>
      </c>
      <c r="E22" s="94" t="s">
        <v>254</v>
      </c>
      <c r="F22" s="95">
        <v>465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101">
        <v>460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104">
        <v>35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50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85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14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10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55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245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83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291</v>
      </c>
    </row>
    <row r="33" spans="2:6">
      <c r="B33" s="102" t="s">
        <v>27</v>
      </c>
      <c r="C33" s="103" t="s">
        <v>6</v>
      </c>
      <c r="D33" s="103" t="s">
        <v>47</v>
      </c>
      <c r="E33" s="103" t="s">
        <v>462</v>
      </c>
      <c r="F33" s="104">
        <v>1848.6</v>
      </c>
    </row>
    <row r="34" spans="2:6">
      <c r="B34" s="102" t="s">
        <v>27</v>
      </c>
      <c r="C34" s="103" t="s">
        <v>6</v>
      </c>
      <c r="D34" s="103" t="s">
        <v>81</v>
      </c>
      <c r="E34" s="103" t="s">
        <v>82</v>
      </c>
      <c r="F34" s="104">
        <v>228</v>
      </c>
    </row>
    <row r="35" spans="2:6" ht="17" thickBot="1">
      <c r="B35" s="105" t="s">
        <v>27</v>
      </c>
      <c r="C35" s="106" t="s">
        <v>6</v>
      </c>
      <c r="D35" s="106" t="s">
        <v>13</v>
      </c>
      <c r="E35" s="106" t="s">
        <v>119</v>
      </c>
      <c r="F35" s="107">
        <v>282</v>
      </c>
    </row>
    <row r="36" spans="2:6">
      <c r="B36" s="119" t="s">
        <v>40</v>
      </c>
      <c r="C36" s="120" t="s">
        <v>18</v>
      </c>
      <c r="D36" s="120" t="s">
        <v>65</v>
      </c>
      <c r="E36" s="120" t="s">
        <v>66</v>
      </c>
      <c r="F36" s="121">
        <v>330</v>
      </c>
    </row>
    <row r="37" spans="2:6">
      <c r="B37" s="133" t="s">
        <v>40</v>
      </c>
      <c r="C37" s="134" t="s">
        <v>18</v>
      </c>
      <c r="D37" s="134" t="s">
        <v>257</v>
      </c>
      <c r="E37" s="134" t="s">
        <v>258</v>
      </c>
      <c r="F37" s="135">
        <v>38</v>
      </c>
    </row>
    <row r="38" spans="2:6">
      <c r="B38" s="133" t="s">
        <v>40</v>
      </c>
      <c r="C38" s="134" t="s">
        <v>6</v>
      </c>
      <c r="D38" s="134" t="s">
        <v>45</v>
      </c>
      <c r="E38" s="134" t="s">
        <v>46</v>
      </c>
      <c r="F38" s="135">
        <v>433</v>
      </c>
    </row>
    <row r="39" spans="2:6">
      <c r="B39" s="133" t="s">
        <v>40</v>
      </c>
      <c r="C39" s="134" t="s">
        <v>6</v>
      </c>
      <c r="D39" s="134" t="s">
        <v>113</v>
      </c>
      <c r="E39" s="134" t="s">
        <v>114</v>
      </c>
      <c r="F39" s="135">
        <v>75</v>
      </c>
    </row>
    <row r="40" spans="2:6">
      <c r="B40" s="133" t="s">
        <v>40</v>
      </c>
      <c r="C40" s="134" t="s">
        <v>6</v>
      </c>
      <c r="D40" s="134" t="s">
        <v>11</v>
      </c>
      <c r="E40" s="134" t="s">
        <v>122</v>
      </c>
      <c r="F40" s="135">
        <v>498</v>
      </c>
    </row>
    <row r="41" spans="2:6" ht="17" thickBot="1">
      <c r="B41" s="272" t="s">
        <v>40</v>
      </c>
      <c r="C41" s="273" t="s">
        <v>6</v>
      </c>
      <c r="D41" s="273" t="s">
        <v>130</v>
      </c>
      <c r="E41" s="273" t="s">
        <v>131</v>
      </c>
      <c r="F41" s="274">
        <v>411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B476-527D-304D-A3BD-0E38091F05C3}">
  <dimension ref="B3:F25"/>
  <sheetViews>
    <sheetView showGridLines="0" workbookViewId="0">
      <selection activeCell="N28" sqref="N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124</v>
      </c>
    </row>
    <row r="6" spans="2:6">
      <c r="B6" s="90" t="s">
        <v>17</v>
      </c>
      <c r="C6" s="91" t="s">
        <v>18</v>
      </c>
      <c r="D6" s="91" t="s">
        <v>109</v>
      </c>
      <c r="E6" s="91" t="s">
        <v>110</v>
      </c>
      <c r="F6" s="92">
        <v>119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6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92">
        <v>36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176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25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300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10</v>
      </c>
    </row>
    <row r="14" spans="2:6" ht="17" thickBot="1">
      <c r="B14" s="280" t="s">
        <v>17</v>
      </c>
      <c r="C14" s="216" t="s">
        <v>6</v>
      </c>
      <c r="D14" s="216" t="s">
        <v>221</v>
      </c>
      <c r="E14" s="216" t="s">
        <v>230</v>
      </c>
      <c r="F14" s="281">
        <v>67</v>
      </c>
    </row>
    <row r="15" spans="2:6">
      <c r="B15" s="282" t="s">
        <v>27</v>
      </c>
      <c r="C15" s="219" t="s">
        <v>18</v>
      </c>
      <c r="D15" s="219" t="s">
        <v>30</v>
      </c>
      <c r="E15" s="219" t="s">
        <v>31</v>
      </c>
      <c r="F15" s="283">
        <v>257</v>
      </c>
    </row>
    <row r="16" spans="2:6">
      <c r="B16" s="102" t="s">
        <v>27</v>
      </c>
      <c r="C16" s="103" t="s">
        <v>6</v>
      </c>
      <c r="D16" s="103" t="s">
        <v>7</v>
      </c>
      <c r="E16" s="103" t="s">
        <v>461</v>
      </c>
      <c r="F16" s="104">
        <v>79</v>
      </c>
    </row>
    <row r="17" spans="2:6">
      <c r="B17" s="102" t="s">
        <v>27</v>
      </c>
      <c r="C17" s="103" t="s">
        <v>6</v>
      </c>
      <c r="D17" s="103" t="s">
        <v>32</v>
      </c>
      <c r="E17" s="103" t="s">
        <v>33</v>
      </c>
      <c r="F17" s="104">
        <v>17</v>
      </c>
    </row>
    <row r="18" spans="2:6">
      <c r="B18" s="102" t="s">
        <v>27</v>
      </c>
      <c r="C18" s="103" t="s">
        <v>6</v>
      </c>
      <c r="D18" s="103" t="s">
        <v>34</v>
      </c>
      <c r="E18" s="103" t="s">
        <v>35</v>
      </c>
      <c r="F18" s="104">
        <v>280</v>
      </c>
    </row>
    <row r="19" spans="2:6">
      <c r="B19" s="102" t="s">
        <v>27</v>
      </c>
      <c r="C19" s="103" t="s">
        <v>6</v>
      </c>
      <c r="D19" s="103" t="s">
        <v>9</v>
      </c>
      <c r="E19" s="103" t="s">
        <v>105</v>
      </c>
      <c r="F19" s="104">
        <v>155</v>
      </c>
    </row>
    <row r="20" spans="2:6">
      <c r="B20" s="102" t="s">
        <v>27</v>
      </c>
      <c r="C20" s="103" t="s">
        <v>6</v>
      </c>
      <c r="D20" s="103" t="s">
        <v>53</v>
      </c>
      <c r="E20" s="103" t="s">
        <v>123</v>
      </c>
      <c r="F20" s="104">
        <v>38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40</v>
      </c>
    </row>
    <row r="22" spans="2:6">
      <c r="B22" s="102" t="s">
        <v>27</v>
      </c>
      <c r="C22" s="103" t="s">
        <v>6</v>
      </c>
      <c r="D22" s="103" t="s">
        <v>47</v>
      </c>
      <c r="E22" s="103" t="s">
        <v>462</v>
      </c>
      <c r="F22" s="104">
        <v>1499.4</v>
      </c>
    </row>
    <row r="23" spans="2:6" ht="17" thickBot="1">
      <c r="B23" s="284" t="s">
        <v>27</v>
      </c>
      <c r="C23" s="224" t="s">
        <v>6</v>
      </c>
      <c r="D23" s="224" t="s">
        <v>63</v>
      </c>
      <c r="E23" s="224" t="s">
        <v>64</v>
      </c>
      <c r="F23" s="285">
        <v>27</v>
      </c>
    </row>
    <row r="24" spans="2:6">
      <c r="B24" s="286" t="s">
        <v>40</v>
      </c>
      <c r="C24" s="227" t="s">
        <v>6</v>
      </c>
      <c r="D24" s="227" t="s">
        <v>45</v>
      </c>
      <c r="E24" s="227" t="s">
        <v>46</v>
      </c>
      <c r="F24" s="287">
        <v>175</v>
      </c>
    </row>
    <row r="25" spans="2:6" ht="17" thickBot="1">
      <c r="B25" s="124" t="s">
        <v>40</v>
      </c>
      <c r="C25" s="125" t="s">
        <v>6</v>
      </c>
      <c r="D25" s="125" t="s">
        <v>11</v>
      </c>
      <c r="E25" s="125" t="s">
        <v>122</v>
      </c>
      <c r="F25" s="126">
        <v>500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1DF20-3BF7-AB48-B127-7457BF198089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50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92">
        <v>25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0</v>
      </c>
    </row>
    <row r="8" spans="2:6">
      <c r="B8" s="90" t="s">
        <v>17</v>
      </c>
      <c r="C8" s="91" t="s">
        <v>18</v>
      </c>
      <c r="D8" s="91" t="s">
        <v>132</v>
      </c>
      <c r="E8" s="91" t="s">
        <v>464</v>
      </c>
      <c r="F8" s="92">
        <v>100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32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52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226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18</v>
      </c>
    </row>
    <row r="15" spans="2:6">
      <c r="B15" s="90" t="s">
        <v>17</v>
      </c>
      <c r="C15" s="91" t="s">
        <v>6</v>
      </c>
      <c r="D15" s="91" t="s">
        <v>15</v>
      </c>
      <c r="E15" s="91" t="s">
        <v>465</v>
      </c>
      <c r="F15" s="92">
        <v>30</v>
      </c>
    </row>
    <row r="16" spans="2:6" ht="17" thickBot="1">
      <c r="B16" s="280" t="s">
        <v>17</v>
      </c>
      <c r="C16" s="216" t="s">
        <v>6</v>
      </c>
      <c r="D16" s="216" t="s">
        <v>128</v>
      </c>
      <c r="E16" s="216" t="s">
        <v>250</v>
      </c>
      <c r="F16" s="281">
        <v>347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92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13</v>
      </c>
    </row>
    <row r="19" spans="2:6">
      <c r="B19" s="102" t="s">
        <v>27</v>
      </c>
      <c r="C19" s="103" t="s">
        <v>18</v>
      </c>
      <c r="D19" s="103" t="s">
        <v>9</v>
      </c>
      <c r="E19" s="103" t="s">
        <v>105</v>
      </c>
      <c r="F19" s="104">
        <v>100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453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350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27</v>
      </c>
    </row>
    <row r="24" spans="2:6" ht="17" thickBot="1">
      <c r="B24" s="284" t="s">
        <v>27</v>
      </c>
      <c r="C24" s="224" t="s">
        <v>6</v>
      </c>
      <c r="D24" s="224" t="s">
        <v>47</v>
      </c>
      <c r="E24" s="224" t="s">
        <v>462</v>
      </c>
      <c r="F24" s="285">
        <v>2000.7</v>
      </c>
    </row>
    <row r="25" spans="2:6">
      <c r="B25" s="286" t="s">
        <v>40</v>
      </c>
      <c r="C25" s="227" t="s">
        <v>18</v>
      </c>
      <c r="D25" s="227" t="s">
        <v>257</v>
      </c>
      <c r="E25" s="227" t="s">
        <v>258</v>
      </c>
      <c r="F25" s="287">
        <v>28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138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A18D-A228-4D45-9C99-9E4C763E6FE2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92">
        <v>0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211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41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96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27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92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154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92">
        <v>6</v>
      </c>
    </row>
    <row r="16" spans="2:6">
      <c r="B16" s="90" t="s">
        <v>17</v>
      </c>
      <c r="C16" s="91" t="s">
        <v>6</v>
      </c>
      <c r="D16" s="91" t="s">
        <v>109</v>
      </c>
      <c r="E16" s="91" t="s">
        <v>110</v>
      </c>
      <c r="F16" s="92">
        <v>3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75</v>
      </c>
    </row>
    <row r="18" spans="2:6" ht="17" thickBot="1">
      <c r="B18" s="280" t="s">
        <v>27</v>
      </c>
      <c r="C18" s="216" t="s">
        <v>18</v>
      </c>
      <c r="D18" s="216" t="s">
        <v>28</v>
      </c>
      <c r="E18" s="216" t="s">
        <v>29</v>
      </c>
      <c r="F18" s="28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152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157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66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390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290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104">
        <v>63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22</v>
      </c>
    </row>
    <row r="26" spans="2:6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360</v>
      </c>
    </row>
    <row r="27" spans="2:6" ht="17" thickBot="1">
      <c r="B27" s="115" t="s">
        <v>27</v>
      </c>
      <c r="C27" s="116" t="s">
        <v>6</v>
      </c>
      <c r="D27" s="116" t="s">
        <v>262</v>
      </c>
      <c r="E27" s="116" t="s">
        <v>263</v>
      </c>
      <c r="F27" s="117">
        <v>2</v>
      </c>
    </row>
    <row r="28" spans="2:6">
      <c r="B28" s="119" t="s">
        <v>40</v>
      </c>
      <c r="C28" s="120" t="s">
        <v>18</v>
      </c>
      <c r="D28" s="120" t="s">
        <v>45</v>
      </c>
      <c r="E28" s="120" t="s">
        <v>46</v>
      </c>
      <c r="F28" s="121">
        <v>85</v>
      </c>
    </row>
    <row r="29" spans="2:6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497</v>
      </c>
    </row>
    <row r="30" spans="2:6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30</v>
      </c>
    </row>
    <row r="31" spans="2:6" ht="17" thickBot="1">
      <c r="B31" s="124" t="s">
        <v>40</v>
      </c>
      <c r="C31" s="125" t="s">
        <v>6</v>
      </c>
      <c r="D31" s="125" t="s">
        <v>257</v>
      </c>
      <c r="E31" s="125" t="s">
        <v>258</v>
      </c>
      <c r="F31" s="126">
        <v>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5AD5-0AE9-9A4E-8B18-A9CA65901091}">
  <dimension ref="B3:F28"/>
  <sheetViews>
    <sheetView showGridLines="0" workbookViewId="0">
      <selection activeCell="B4" sqref="B4:F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279">
        <v>304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92">
        <v>40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92">
        <v>56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92">
        <v>335</v>
      </c>
    </row>
    <row r="9" spans="2:6">
      <c r="B9" s="90" t="s">
        <v>17</v>
      </c>
      <c r="C9" s="91" t="s">
        <v>6</v>
      </c>
      <c r="D9" s="91" t="s">
        <v>43</v>
      </c>
      <c r="E9" s="91" t="s">
        <v>459</v>
      </c>
      <c r="F9" s="92">
        <v>110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100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42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17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50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88</v>
      </c>
    </row>
    <row r="15" spans="2:6">
      <c r="B15" s="90" t="s">
        <v>17</v>
      </c>
      <c r="C15" s="91" t="s">
        <v>6</v>
      </c>
      <c r="D15" s="91" t="s">
        <v>109</v>
      </c>
      <c r="E15" s="91" t="s">
        <v>110</v>
      </c>
      <c r="F15" s="92">
        <v>125</v>
      </c>
    </row>
    <row r="16" spans="2:6">
      <c r="B16" s="90" t="s">
        <v>17</v>
      </c>
      <c r="C16" s="91" t="s">
        <v>6</v>
      </c>
      <c r="D16" s="91" t="s">
        <v>15</v>
      </c>
      <c r="E16" s="91" t="s">
        <v>465</v>
      </c>
      <c r="F16" s="92">
        <v>30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29</v>
      </c>
    </row>
    <row r="18" spans="2:6" ht="17" thickBot="1">
      <c r="B18" s="280" t="s">
        <v>17</v>
      </c>
      <c r="C18" s="216" t="s">
        <v>6</v>
      </c>
      <c r="D18" s="216" t="s">
        <v>251</v>
      </c>
      <c r="E18" s="216" t="s">
        <v>252</v>
      </c>
      <c r="F18" s="281">
        <v>132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154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343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96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110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200</v>
      </c>
    </row>
    <row r="25" spans="2:6" ht="17" thickBot="1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200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120</v>
      </c>
    </row>
    <row r="27" spans="2:6">
      <c r="B27" s="122" t="s">
        <v>40</v>
      </c>
      <c r="C27" s="118" t="s">
        <v>6</v>
      </c>
      <c r="D27" s="118" t="s">
        <v>11</v>
      </c>
      <c r="E27" s="118" t="s">
        <v>122</v>
      </c>
      <c r="F27" s="123">
        <v>500</v>
      </c>
    </row>
    <row r="28" spans="2:6" ht="17" thickBot="1">
      <c r="B28" s="124" t="s">
        <v>40</v>
      </c>
      <c r="C28" s="125" t="s">
        <v>6</v>
      </c>
      <c r="D28" s="125" t="s">
        <v>257</v>
      </c>
      <c r="E28" s="125" t="s">
        <v>258</v>
      </c>
      <c r="F28" s="126">
        <v>55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A889-5A1C-A64E-BABE-DFDA842F013A}">
  <dimension ref="B3:F37"/>
  <sheetViews>
    <sheetView showGridLines="0" topLeftCell="A4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83</v>
      </c>
    </row>
    <row r="6" spans="2:6">
      <c r="B6" s="90" t="s">
        <v>17</v>
      </c>
      <c r="C6" s="91" t="s">
        <v>18</v>
      </c>
      <c r="D6" s="91" t="s">
        <v>49</v>
      </c>
      <c r="E6" s="91" t="s">
        <v>133</v>
      </c>
      <c r="F6" s="92">
        <v>85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186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351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391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92">
        <v>27</v>
      </c>
    </row>
    <row r="12" spans="2:6">
      <c r="B12" s="90" t="s">
        <v>17</v>
      </c>
      <c r="C12" s="91" t="s">
        <v>18</v>
      </c>
      <c r="D12" s="91" t="s">
        <v>59</v>
      </c>
      <c r="E12" s="91" t="s">
        <v>104</v>
      </c>
      <c r="F12" s="92">
        <v>49</v>
      </c>
    </row>
    <row r="13" spans="2:6">
      <c r="B13" s="90" t="s">
        <v>17</v>
      </c>
      <c r="C13" s="91" t="s">
        <v>18</v>
      </c>
      <c r="D13" s="91" t="s">
        <v>132</v>
      </c>
      <c r="E13" s="91" t="s">
        <v>464</v>
      </c>
      <c r="F13" s="92">
        <v>5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92">
        <v>452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42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92">
        <v>46</v>
      </c>
    </row>
    <row r="17" spans="2:6">
      <c r="B17" s="90" t="s">
        <v>17</v>
      </c>
      <c r="C17" s="91" t="s">
        <v>6</v>
      </c>
      <c r="D17" s="91" t="s">
        <v>51</v>
      </c>
      <c r="E17" s="91" t="s">
        <v>460</v>
      </c>
      <c r="F17" s="92">
        <v>52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92">
        <v>40</v>
      </c>
    </row>
    <row r="19" spans="2:6">
      <c r="B19" s="90" t="s">
        <v>17</v>
      </c>
      <c r="C19" s="91" t="s">
        <v>6</v>
      </c>
      <c r="D19" s="91" t="s">
        <v>57</v>
      </c>
      <c r="E19" s="91" t="s">
        <v>58</v>
      </c>
      <c r="F19" s="92">
        <v>25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92">
        <v>69</v>
      </c>
    </row>
    <row r="21" spans="2:6">
      <c r="B21" s="90" t="s">
        <v>17</v>
      </c>
      <c r="C21" s="91" t="s">
        <v>6</v>
      </c>
      <c r="D21" s="91" t="s">
        <v>11</v>
      </c>
      <c r="E21" s="91" t="s">
        <v>466</v>
      </c>
      <c r="F21" s="92">
        <v>191</v>
      </c>
    </row>
    <row r="22" spans="2:6">
      <c r="B22" s="90" t="s">
        <v>17</v>
      </c>
      <c r="C22" s="91" t="s">
        <v>6</v>
      </c>
      <c r="D22" s="91" t="s">
        <v>71</v>
      </c>
      <c r="E22" s="91" t="s">
        <v>463</v>
      </c>
      <c r="F22" s="92">
        <v>150</v>
      </c>
    </row>
    <row r="23" spans="2:6">
      <c r="B23" s="90" t="s">
        <v>17</v>
      </c>
      <c r="C23" s="91" t="s">
        <v>6</v>
      </c>
      <c r="D23" s="91" t="s">
        <v>128</v>
      </c>
      <c r="E23" s="91" t="s">
        <v>250</v>
      </c>
      <c r="F23" s="92">
        <v>85</v>
      </c>
    </row>
    <row r="24" spans="2:6">
      <c r="B24" s="90" t="s">
        <v>17</v>
      </c>
      <c r="C24" s="91" t="s">
        <v>6</v>
      </c>
      <c r="D24" s="91" t="s">
        <v>221</v>
      </c>
      <c r="E24" s="91" t="s">
        <v>230</v>
      </c>
      <c r="F24" s="92">
        <v>35</v>
      </c>
    </row>
    <row r="25" spans="2:6" ht="17" thickBot="1">
      <c r="B25" s="112" t="s">
        <v>17</v>
      </c>
      <c r="C25" s="113" t="s">
        <v>6</v>
      </c>
      <c r="D25" s="113" t="s">
        <v>251</v>
      </c>
      <c r="E25" s="113" t="s">
        <v>252</v>
      </c>
      <c r="F25" s="114">
        <v>121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101">
        <v>122</v>
      </c>
    </row>
    <row r="27" spans="2:6">
      <c r="B27" s="102" t="s">
        <v>27</v>
      </c>
      <c r="C27" s="103" t="s">
        <v>18</v>
      </c>
      <c r="D27" s="103" t="s">
        <v>28</v>
      </c>
      <c r="E27" s="103" t="s">
        <v>29</v>
      </c>
      <c r="F27" s="104">
        <v>130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104">
        <v>72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104">
        <v>20</v>
      </c>
    </row>
    <row r="30" spans="2:6">
      <c r="B30" s="102" t="s">
        <v>27</v>
      </c>
      <c r="C30" s="103" t="s">
        <v>6</v>
      </c>
      <c r="D30" s="103" t="s">
        <v>7</v>
      </c>
      <c r="E30" s="103" t="s">
        <v>461</v>
      </c>
      <c r="F30" s="104">
        <v>50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104">
        <v>436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106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104">
        <v>125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104">
        <v>279</v>
      </c>
    </row>
    <row r="35" spans="2:6">
      <c r="B35" s="102" t="s">
        <v>27</v>
      </c>
      <c r="C35" s="103" t="s">
        <v>6</v>
      </c>
      <c r="D35" s="103" t="s">
        <v>36</v>
      </c>
      <c r="E35" s="103" t="s">
        <v>37</v>
      </c>
      <c r="F35" s="104">
        <v>378</v>
      </c>
    </row>
    <row r="36" spans="2:6" ht="17" thickBot="1">
      <c r="B36" s="105" t="s">
        <v>27</v>
      </c>
      <c r="C36" s="106" t="s">
        <v>6</v>
      </c>
      <c r="D36" s="106" t="s">
        <v>81</v>
      </c>
      <c r="E36" s="106" t="s">
        <v>82</v>
      </c>
      <c r="F36" s="107">
        <v>20</v>
      </c>
    </row>
    <row r="37" spans="2:6" ht="17" thickBot="1">
      <c r="B37" s="272" t="s">
        <v>40</v>
      </c>
      <c r="C37" s="273" t="s">
        <v>6</v>
      </c>
      <c r="D37" s="273" t="s">
        <v>45</v>
      </c>
      <c r="E37" s="273" t="s">
        <v>46</v>
      </c>
      <c r="F37" s="274">
        <v>310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D092-1BD2-9A48-9AAA-1E31313EACB0}">
  <dimension ref="B3:F34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337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1318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54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115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302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68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427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86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234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69</v>
      </c>
    </row>
    <row r="18" spans="2:6">
      <c r="B18" s="90" t="s">
        <v>17</v>
      </c>
      <c r="C18" s="91" t="s">
        <v>6</v>
      </c>
      <c r="D18" s="91" t="s">
        <v>15</v>
      </c>
      <c r="E18" s="91" t="s">
        <v>465</v>
      </c>
      <c r="F18" s="92">
        <v>35</v>
      </c>
    </row>
    <row r="19" spans="2:6">
      <c r="B19" s="90" t="s">
        <v>17</v>
      </c>
      <c r="C19" s="91" t="s">
        <v>6</v>
      </c>
      <c r="D19" s="91" t="s">
        <v>132</v>
      </c>
      <c r="E19" s="91" t="s">
        <v>464</v>
      </c>
      <c r="F19" s="92">
        <v>65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147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513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101">
        <v>101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104">
        <v>256</v>
      </c>
    </row>
    <row r="24" spans="2:6">
      <c r="B24" s="102" t="s">
        <v>27</v>
      </c>
      <c r="C24" s="103" t="s">
        <v>18</v>
      </c>
      <c r="D24" s="103" t="s">
        <v>222</v>
      </c>
      <c r="E24" s="103" t="s">
        <v>468</v>
      </c>
      <c r="F24" s="104">
        <v>469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10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140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279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191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25</v>
      </c>
    </row>
    <row r="31" spans="2:6">
      <c r="B31" s="115" t="s">
        <v>27</v>
      </c>
      <c r="C31" s="116" t="s">
        <v>6</v>
      </c>
      <c r="D31" s="116" t="s">
        <v>53</v>
      </c>
      <c r="E31" s="116" t="s">
        <v>123</v>
      </c>
      <c r="F31" s="117">
        <v>100</v>
      </c>
    </row>
    <row r="32" spans="2:6" ht="17" thickBot="1">
      <c r="B32" s="115" t="s">
        <v>27</v>
      </c>
      <c r="C32" s="116" t="s">
        <v>6</v>
      </c>
      <c r="D32" s="116" t="s">
        <v>36</v>
      </c>
      <c r="E32" s="116" t="s">
        <v>37</v>
      </c>
      <c r="F32" s="117">
        <v>22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280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8909-E1BA-4A45-B5CB-D001AA5FAB28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67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50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92">
        <v>1068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3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185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92">
        <v>35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164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73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328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30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20</v>
      </c>
    </row>
    <row r="20" spans="2:6" ht="17" thickBot="1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13</v>
      </c>
    </row>
    <row r="21" spans="2:6">
      <c r="B21" s="99" t="s">
        <v>27</v>
      </c>
      <c r="C21" s="100" t="s">
        <v>18</v>
      </c>
      <c r="D21" s="100" t="s">
        <v>32</v>
      </c>
      <c r="E21" s="100" t="s">
        <v>33</v>
      </c>
      <c r="F21" s="101">
        <v>80</v>
      </c>
    </row>
    <row r="22" spans="2:6">
      <c r="B22" s="102" t="s">
        <v>27</v>
      </c>
      <c r="C22" s="103" t="s">
        <v>18</v>
      </c>
      <c r="D22" s="103" t="s">
        <v>9</v>
      </c>
      <c r="E22" s="103" t="s">
        <v>105</v>
      </c>
      <c r="F22" s="104">
        <v>300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104">
        <v>166</v>
      </c>
    </row>
    <row r="24" spans="2:6">
      <c r="B24" s="102" t="s">
        <v>27</v>
      </c>
      <c r="C24" s="103" t="s">
        <v>18</v>
      </c>
      <c r="D24" s="103" t="s">
        <v>262</v>
      </c>
      <c r="E24" s="103" t="s">
        <v>263</v>
      </c>
      <c r="F24" s="104">
        <v>26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95</v>
      </c>
    </row>
    <row r="26" spans="2:6">
      <c r="B26" s="102" t="s">
        <v>27</v>
      </c>
      <c r="C26" s="103" t="s">
        <v>6</v>
      </c>
      <c r="D26" s="103" t="s">
        <v>28</v>
      </c>
      <c r="E26" s="103" t="s">
        <v>29</v>
      </c>
      <c r="F26" s="104">
        <v>175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104">
        <v>350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104">
        <v>280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104">
        <v>60</v>
      </c>
    </row>
    <row r="30" spans="2:6">
      <c r="B30" s="115" t="s">
        <v>27</v>
      </c>
      <c r="C30" s="116" t="s">
        <v>6</v>
      </c>
      <c r="D30" s="116" t="s">
        <v>81</v>
      </c>
      <c r="E30" s="116" t="s">
        <v>82</v>
      </c>
      <c r="F30" s="117">
        <v>400</v>
      </c>
    </row>
    <row r="31" spans="2:6" ht="17" thickBot="1">
      <c r="B31" s="115" t="s">
        <v>27</v>
      </c>
      <c r="C31" s="116" t="s">
        <v>6</v>
      </c>
      <c r="D31" s="116" t="s">
        <v>222</v>
      </c>
      <c r="E31" s="116" t="s">
        <v>468</v>
      </c>
      <c r="F31" s="117">
        <v>403</v>
      </c>
    </row>
    <row r="32" spans="2:6">
      <c r="B32" s="119" t="s">
        <v>40</v>
      </c>
      <c r="C32" s="120" t="s">
        <v>6</v>
      </c>
      <c r="D32" s="120" t="s">
        <v>45</v>
      </c>
      <c r="E32" s="120" t="s">
        <v>46</v>
      </c>
      <c r="F32" s="121">
        <v>175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380B-1047-CF48-ACA1-87969A680707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47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1400</v>
      </c>
    </row>
    <row r="8" spans="2:6">
      <c r="B8" s="90" t="s">
        <v>17</v>
      </c>
      <c r="C8" s="91" t="s">
        <v>18</v>
      </c>
      <c r="D8" s="91" t="s">
        <v>15</v>
      </c>
      <c r="E8" s="91" t="s">
        <v>465</v>
      </c>
      <c r="F8" s="92">
        <v>2</v>
      </c>
    </row>
    <row r="9" spans="2:6">
      <c r="B9" s="90" t="s">
        <v>17</v>
      </c>
      <c r="C9" s="91" t="s">
        <v>18</v>
      </c>
      <c r="D9" s="91" t="s">
        <v>132</v>
      </c>
      <c r="E9" s="91" t="s">
        <v>464</v>
      </c>
      <c r="F9" s="92">
        <v>45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100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75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75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110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59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110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70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41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109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495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24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92">
        <v>2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101">
        <v>129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500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33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244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151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20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317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255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443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295</v>
      </c>
    </row>
    <row r="33" spans="2:6">
      <c r="B33" s="115" t="s">
        <v>27</v>
      </c>
      <c r="C33" s="116" t="s">
        <v>6</v>
      </c>
      <c r="D33" s="116" t="s">
        <v>63</v>
      </c>
      <c r="E33" s="116" t="s">
        <v>64</v>
      </c>
      <c r="F33" s="117">
        <v>20</v>
      </c>
    </row>
    <row r="34" spans="2:6">
      <c r="B34" s="115" t="s">
        <v>27</v>
      </c>
      <c r="C34" s="116" t="s">
        <v>6</v>
      </c>
      <c r="D34" s="116" t="s">
        <v>222</v>
      </c>
      <c r="E34" s="116" t="s">
        <v>468</v>
      </c>
      <c r="F34" s="117">
        <v>595</v>
      </c>
    </row>
    <row r="35" spans="2:6" ht="17" thickBot="1">
      <c r="B35" s="115" t="s">
        <v>27</v>
      </c>
      <c r="C35" s="116" t="s">
        <v>6</v>
      </c>
      <c r="D35" s="116" t="s">
        <v>262</v>
      </c>
      <c r="E35" s="116" t="s">
        <v>263</v>
      </c>
      <c r="F35" s="117">
        <v>50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376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8619-649E-2945-BAB7-D9A5EE3F933E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304</v>
      </c>
    </row>
    <row r="6" spans="2:6">
      <c r="B6" s="90" t="s">
        <v>17</v>
      </c>
      <c r="C6" s="91" t="s">
        <v>18</v>
      </c>
      <c r="D6" s="91" t="s">
        <v>15</v>
      </c>
      <c r="E6" s="91" t="s">
        <v>465</v>
      </c>
      <c r="F6" s="92">
        <v>12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122</v>
      </c>
    </row>
    <row r="8" spans="2:6">
      <c r="B8" s="90" t="s">
        <v>17</v>
      </c>
      <c r="C8" s="91" t="s">
        <v>6</v>
      </c>
      <c r="D8" s="91" t="s">
        <v>43</v>
      </c>
      <c r="E8" s="91" t="s">
        <v>459</v>
      </c>
      <c r="F8" s="92">
        <v>10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61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90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588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900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92">
        <v>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152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100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25</v>
      </c>
    </row>
    <row r="18" spans="2:6">
      <c r="B18" s="90" t="s">
        <v>17</v>
      </c>
      <c r="C18" s="91" t="s">
        <v>6</v>
      </c>
      <c r="D18" s="91" t="s">
        <v>226</v>
      </c>
      <c r="E18" s="91" t="s">
        <v>467</v>
      </c>
      <c r="F18" s="92">
        <v>225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27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50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169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101">
        <v>1029</v>
      </c>
    </row>
    <row r="23" spans="2:6">
      <c r="B23" s="102" t="s">
        <v>27</v>
      </c>
      <c r="C23" s="103" t="s">
        <v>18</v>
      </c>
      <c r="D23" s="103" t="s">
        <v>28</v>
      </c>
      <c r="E23" s="103" t="s">
        <v>29</v>
      </c>
      <c r="F23" s="104">
        <v>0</v>
      </c>
    </row>
    <row r="24" spans="2:6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159</v>
      </c>
    </row>
    <row r="25" spans="2:6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270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15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68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15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173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104">
        <v>200</v>
      </c>
    </row>
    <row r="31" spans="2:6">
      <c r="B31" s="102" t="s">
        <v>27</v>
      </c>
      <c r="C31" s="103" t="s">
        <v>6</v>
      </c>
      <c r="D31" s="103" t="s">
        <v>246</v>
      </c>
      <c r="E31" s="103" t="s">
        <v>462</v>
      </c>
      <c r="F31" s="104">
        <v>2144.6999999999998</v>
      </c>
    </row>
    <row r="32" spans="2:6" ht="17" thickBot="1">
      <c r="B32" s="102" t="s">
        <v>27</v>
      </c>
      <c r="C32" s="103" t="s">
        <v>6</v>
      </c>
      <c r="D32" s="103" t="s">
        <v>262</v>
      </c>
      <c r="E32" s="103" t="s">
        <v>263</v>
      </c>
      <c r="F32" s="104">
        <v>152</v>
      </c>
    </row>
    <row r="33" spans="2:6" ht="17" thickBot="1">
      <c r="B33" s="288" t="s">
        <v>40</v>
      </c>
      <c r="C33" s="289" t="s">
        <v>6</v>
      </c>
      <c r="D33" s="289" t="s">
        <v>45</v>
      </c>
      <c r="E33" s="289" t="s">
        <v>46</v>
      </c>
      <c r="F33" s="290">
        <v>149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0FBC-4EF2-184B-85CA-9D55FFEBF37B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25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51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33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269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105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217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15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900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92">
        <v>65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101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200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31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802</v>
      </c>
    </row>
    <row r="18" spans="2:6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52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100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51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975.6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403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37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35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190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383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74</v>
      </c>
    </row>
    <row r="29" spans="2:6">
      <c r="B29" s="102" t="s">
        <v>27</v>
      </c>
      <c r="C29" s="103" t="s">
        <v>6</v>
      </c>
      <c r="D29" s="103" t="s">
        <v>246</v>
      </c>
      <c r="E29" s="103" t="s">
        <v>462</v>
      </c>
      <c r="F29" s="104">
        <v>775</v>
      </c>
    </row>
    <row r="30" spans="2:6" ht="17" thickBot="1">
      <c r="B30" s="102" t="s">
        <v>27</v>
      </c>
      <c r="C30" s="103" t="s">
        <v>6</v>
      </c>
      <c r="D30" s="103" t="s">
        <v>259</v>
      </c>
      <c r="E30" s="103" t="s">
        <v>39</v>
      </c>
      <c r="F30" s="104">
        <v>101</v>
      </c>
    </row>
    <row r="31" spans="2:6">
      <c r="B31" s="119" t="s">
        <v>40</v>
      </c>
      <c r="C31" s="120" t="s">
        <v>18</v>
      </c>
      <c r="D31" s="120" t="s">
        <v>257</v>
      </c>
      <c r="E31" s="120" t="s">
        <v>258</v>
      </c>
      <c r="F31" s="121">
        <v>20</v>
      </c>
    </row>
    <row r="32" spans="2:6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280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AF24-8119-5A4C-A85F-67711DA11328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348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68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101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45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1260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25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97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30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25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407</v>
      </c>
    </row>
    <row r="19" spans="2:6">
      <c r="B19" s="102" t="s">
        <v>27</v>
      </c>
      <c r="C19" s="103" t="s">
        <v>18</v>
      </c>
      <c r="D19" s="103" t="s">
        <v>34</v>
      </c>
      <c r="E19" s="103" t="s">
        <v>35</v>
      </c>
      <c r="F19" s="104">
        <v>0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66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500</v>
      </c>
    </row>
    <row r="22" spans="2:6">
      <c r="B22" s="102" t="s">
        <v>27</v>
      </c>
      <c r="C22" s="103" t="s">
        <v>18</v>
      </c>
      <c r="D22" s="103" t="s">
        <v>228</v>
      </c>
      <c r="E22" s="103" t="s">
        <v>470</v>
      </c>
      <c r="F22" s="104">
        <v>351</v>
      </c>
    </row>
    <row r="23" spans="2:6">
      <c r="B23" s="102" t="s">
        <v>27</v>
      </c>
      <c r="C23" s="103" t="s">
        <v>18</v>
      </c>
      <c r="D23" s="103" t="s">
        <v>246</v>
      </c>
      <c r="E23" s="103" t="s">
        <v>462</v>
      </c>
      <c r="F23" s="104">
        <v>1654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104">
        <v>25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1079.0999999999999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104">
        <v>183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104">
        <v>940</v>
      </c>
    </row>
    <row r="28" spans="2:6">
      <c r="B28" s="102" t="s">
        <v>27</v>
      </c>
      <c r="C28" s="103" t="s">
        <v>6</v>
      </c>
      <c r="D28" s="103" t="s">
        <v>259</v>
      </c>
      <c r="E28" s="103" t="s">
        <v>39</v>
      </c>
      <c r="F28" s="104">
        <v>592</v>
      </c>
    </row>
    <row r="29" spans="2:6" ht="17" thickBot="1">
      <c r="B29" s="102" t="s">
        <v>27</v>
      </c>
      <c r="C29" s="103" t="s">
        <v>6</v>
      </c>
      <c r="D29" s="103" t="s">
        <v>262</v>
      </c>
      <c r="E29" s="103" t="s">
        <v>263</v>
      </c>
      <c r="F29" s="104">
        <v>5</v>
      </c>
    </row>
    <row r="30" spans="2:6" ht="17" thickBot="1">
      <c r="B30" s="288" t="s">
        <v>40</v>
      </c>
      <c r="C30" s="289" t="s">
        <v>6</v>
      </c>
      <c r="D30" s="289" t="s">
        <v>45</v>
      </c>
      <c r="E30" s="289" t="s">
        <v>46</v>
      </c>
      <c r="F30" s="290">
        <v>75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300-33C7-4A4B-A3BD-B4D19F8FB3DB}">
  <dimension ref="B3:L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  <col min="8" max="8" width="12.332031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256</v>
      </c>
    </row>
    <row r="6" spans="2:6">
      <c r="B6" s="90" t="s">
        <v>17</v>
      </c>
      <c r="C6" s="91" t="s">
        <v>18</v>
      </c>
      <c r="D6" s="91" t="s">
        <v>57</v>
      </c>
      <c r="E6" s="91" t="s">
        <v>58</v>
      </c>
      <c r="F6" s="92">
        <v>50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196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20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303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85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10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145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486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92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50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92">
        <v>50</v>
      </c>
    </row>
    <row r="18" spans="2:12" ht="17" thickBot="1">
      <c r="B18" s="90" t="s">
        <v>17</v>
      </c>
      <c r="C18" s="91" t="s">
        <v>6</v>
      </c>
      <c r="D18" s="91" t="s">
        <v>109</v>
      </c>
      <c r="E18" s="91" t="s">
        <v>110</v>
      </c>
      <c r="F18" s="92">
        <v>40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92">
        <v>68</v>
      </c>
      <c r="H19" s="343" t="s">
        <v>472</v>
      </c>
      <c r="I19" s="344"/>
      <c r="K19" s="345" t="s">
        <v>475</v>
      </c>
      <c r="L19" s="346"/>
    </row>
    <row r="20" spans="2:12">
      <c r="B20" s="90" t="s">
        <v>17</v>
      </c>
      <c r="C20" s="91" t="s">
        <v>6</v>
      </c>
      <c r="D20" s="91" t="s">
        <v>128</v>
      </c>
      <c r="E20" s="91" t="s">
        <v>250</v>
      </c>
      <c r="F20" s="92">
        <v>113</v>
      </c>
      <c r="H20" s="295" t="s">
        <v>2</v>
      </c>
      <c r="I20" s="296" t="s">
        <v>4</v>
      </c>
      <c r="K20" s="291">
        <v>295</v>
      </c>
      <c r="L20" s="292" t="s">
        <v>473</v>
      </c>
    </row>
    <row r="21" spans="2:12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298</v>
      </c>
      <c r="H21" s="297" t="s">
        <v>476</v>
      </c>
      <c r="I21" s="298">
        <f>F21</f>
        <v>298</v>
      </c>
      <c r="K21" s="294">
        <f>K20-I24</f>
        <v>-496</v>
      </c>
      <c r="L21" s="293" t="s">
        <v>474</v>
      </c>
    </row>
    <row r="22" spans="2:12">
      <c r="B22" s="90" t="s">
        <v>17</v>
      </c>
      <c r="C22" s="91" t="s">
        <v>6</v>
      </c>
      <c r="D22" s="91" t="s">
        <v>223</v>
      </c>
      <c r="E22" s="91" t="s">
        <v>471</v>
      </c>
      <c r="F22" s="92">
        <v>190</v>
      </c>
      <c r="H22" s="297" t="s">
        <v>22</v>
      </c>
      <c r="I22" s="298">
        <f>F10</f>
        <v>303</v>
      </c>
    </row>
    <row r="23" spans="2:12" ht="17" thickBot="1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138</v>
      </c>
      <c r="H23" s="299" t="s">
        <v>471</v>
      </c>
      <c r="I23" s="300">
        <f>F22</f>
        <v>190</v>
      </c>
    </row>
    <row r="24" spans="2:12" ht="17" thickBot="1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13</v>
      </c>
      <c r="H24" s="301" t="s">
        <v>76</v>
      </c>
      <c r="I24" s="302">
        <f>SUM(I21:I23)</f>
        <v>791</v>
      </c>
    </row>
    <row r="25" spans="2:12">
      <c r="B25" s="102" t="s">
        <v>27</v>
      </c>
      <c r="C25" s="103" t="s">
        <v>18</v>
      </c>
      <c r="D25" s="103" t="s">
        <v>63</v>
      </c>
      <c r="E25" s="103" t="s">
        <v>64</v>
      </c>
      <c r="F25" s="104">
        <v>19</v>
      </c>
    </row>
    <row r="26" spans="2:12">
      <c r="B26" s="102" t="s">
        <v>27</v>
      </c>
      <c r="C26" s="103" t="s">
        <v>18</v>
      </c>
      <c r="D26" s="103" t="s">
        <v>246</v>
      </c>
      <c r="E26" s="103" t="s">
        <v>462</v>
      </c>
      <c r="F26" s="104">
        <v>0</v>
      </c>
    </row>
    <row r="27" spans="2:12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436</v>
      </c>
    </row>
    <row r="28" spans="2:12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100</v>
      </c>
    </row>
    <row r="29" spans="2:12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44</v>
      </c>
    </row>
    <row r="30" spans="2:12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</v>
      </c>
    </row>
    <row r="31" spans="2:12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485</v>
      </c>
    </row>
    <row r="32" spans="2:12">
      <c r="B32" s="102" t="s">
        <v>27</v>
      </c>
      <c r="C32" s="103" t="s">
        <v>6</v>
      </c>
      <c r="D32" s="103" t="s">
        <v>81</v>
      </c>
      <c r="E32" s="103" t="s">
        <v>82</v>
      </c>
      <c r="F32" s="104">
        <v>147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104">
        <v>150</v>
      </c>
    </row>
    <row r="34" spans="2:6">
      <c r="B34" s="102" t="s">
        <v>27</v>
      </c>
      <c r="C34" s="103" t="s">
        <v>6</v>
      </c>
      <c r="D34" s="103" t="s">
        <v>259</v>
      </c>
      <c r="E34" s="103" t="s">
        <v>39</v>
      </c>
      <c r="F34" s="104">
        <v>600</v>
      </c>
    </row>
    <row r="35" spans="2:6" ht="17" thickBot="1">
      <c r="B35" s="102" t="s">
        <v>27</v>
      </c>
      <c r="C35" s="103" t="s">
        <v>6</v>
      </c>
      <c r="D35" s="103" t="s">
        <v>262</v>
      </c>
      <c r="E35" s="103" t="s">
        <v>263</v>
      </c>
      <c r="F35" s="104">
        <v>25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110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55</v>
      </c>
    </row>
  </sheetData>
  <mergeCells count="2">
    <mergeCell ref="H19:I19"/>
    <mergeCell ref="K19:L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DF55-1422-9B4F-A40E-FBE682BFC4C1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519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57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35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92">
        <v>50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0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23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45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20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47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10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30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6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10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22</v>
      </c>
    </row>
    <row r="19" spans="2:6" ht="17" thickBot="1">
      <c r="B19" s="90" t="s">
        <v>17</v>
      </c>
      <c r="C19" s="91" t="s">
        <v>6</v>
      </c>
      <c r="D19" s="91" t="s">
        <v>253</v>
      </c>
      <c r="E19" s="91" t="s">
        <v>254</v>
      </c>
      <c r="F19" s="92">
        <v>16</v>
      </c>
    </row>
    <row r="20" spans="2:6">
      <c r="B20" s="99" t="s">
        <v>27</v>
      </c>
      <c r="C20" s="100" t="s">
        <v>18</v>
      </c>
      <c r="D20" s="100" t="s">
        <v>53</v>
      </c>
      <c r="E20" s="100" t="s">
        <v>123</v>
      </c>
      <c r="F20" s="101">
        <v>137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285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120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351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18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214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705</v>
      </c>
    </row>
    <row r="28" spans="2:6" ht="17" thickBot="1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55</v>
      </c>
    </row>
    <row r="29" spans="2:6">
      <c r="B29" s="119" t="s">
        <v>40</v>
      </c>
      <c r="C29" s="120" t="s">
        <v>18</v>
      </c>
      <c r="D29" s="120" t="s">
        <v>45</v>
      </c>
      <c r="E29" s="120" t="s">
        <v>46</v>
      </c>
      <c r="F29" s="121">
        <v>170</v>
      </c>
    </row>
    <row r="30" spans="2:6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17</v>
      </c>
    </row>
    <row r="31" spans="2:6" ht="17" thickBot="1">
      <c r="B31" s="124" t="s">
        <v>40</v>
      </c>
      <c r="C31" s="125" t="s">
        <v>18</v>
      </c>
      <c r="D31" s="125" t="s">
        <v>440</v>
      </c>
      <c r="E31" s="125" t="s">
        <v>477</v>
      </c>
      <c r="F31" s="126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BF18-D3E4-4341-91AB-AF23EFD2B46D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69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104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0</v>
      </c>
    </row>
    <row r="10" spans="2:6">
      <c r="B10" s="90" t="s">
        <v>17</v>
      </c>
      <c r="C10" s="91" t="s">
        <v>6</v>
      </c>
      <c r="D10" s="91" t="s">
        <v>43</v>
      </c>
      <c r="E10" s="91" t="s">
        <v>459</v>
      </c>
      <c r="F10" s="92">
        <v>30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30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59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150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36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550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40</v>
      </c>
    </row>
    <row r="18" spans="2:6">
      <c r="B18" s="90" t="s">
        <v>17</v>
      </c>
      <c r="C18" s="91" t="s">
        <v>6</v>
      </c>
      <c r="D18" s="91" t="s">
        <v>221</v>
      </c>
      <c r="E18" s="91" t="s">
        <v>230</v>
      </c>
      <c r="F18" s="92">
        <v>63</v>
      </c>
    </row>
    <row r="19" spans="2:6">
      <c r="B19" s="90" t="s">
        <v>17</v>
      </c>
      <c r="C19" s="91" t="s">
        <v>6</v>
      </c>
      <c r="D19" s="91" t="s">
        <v>251</v>
      </c>
      <c r="E19" s="91" t="s">
        <v>252</v>
      </c>
      <c r="F19" s="92">
        <v>115</v>
      </c>
    </row>
    <row r="20" spans="2:6">
      <c r="B20" s="90" t="s">
        <v>17</v>
      </c>
      <c r="C20" s="91" t="s">
        <v>6</v>
      </c>
      <c r="D20" s="91" t="s">
        <v>253</v>
      </c>
      <c r="E20" s="91" t="s">
        <v>254</v>
      </c>
      <c r="F20" s="92">
        <v>110</v>
      </c>
    </row>
    <row r="21" spans="2:6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0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160</v>
      </c>
    </row>
    <row r="23" spans="2:6">
      <c r="B23" s="102" t="s">
        <v>27</v>
      </c>
      <c r="C23" s="103" t="s">
        <v>18</v>
      </c>
      <c r="D23" s="103" t="s">
        <v>63</v>
      </c>
      <c r="E23" s="103" t="s">
        <v>64</v>
      </c>
      <c r="F23" s="104">
        <v>13</v>
      </c>
    </row>
    <row r="24" spans="2:6">
      <c r="B24" s="102" t="s">
        <v>27</v>
      </c>
      <c r="C24" s="103" t="s">
        <v>18</v>
      </c>
      <c r="D24" s="103" t="s">
        <v>259</v>
      </c>
      <c r="E24" s="103" t="s">
        <v>39</v>
      </c>
      <c r="F24" s="104">
        <v>1591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495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100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320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104">
        <v>240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25</v>
      </c>
    </row>
    <row r="30" spans="2:6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104">
        <v>174</v>
      </c>
    </row>
    <row r="31" spans="2:6">
      <c r="B31" s="119" t="s">
        <v>40</v>
      </c>
      <c r="C31" s="120" t="s">
        <v>18</v>
      </c>
      <c r="D31" s="120" t="s">
        <v>440</v>
      </c>
      <c r="E31" s="120" t="s">
        <v>477</v>
      </c>
      <c r="F31" s="121">
        <v>0</v>
      </c>
    </row>
    <row r="32" spans="2:6">
      <c r="B32" s="122" t="s">
        <v>40</v>
      </c>
      <c r="C32" s="118" t="s">
        <v>6</v>
      </c>
      <c r="D32" s="118" t="s">
        <v>45</v>
      </c>
      <c r="E32" s="118" t="s">
        <v>46</v>
      </c>
      <c r="F32" s="123">
        <v>470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2FA2-CF50-154E-A998-9DC1AF9CF478}">
  <dimension ref="B3:F39"/>
  <sheetViews>
    <sheetView showGridLines="0" workbookViewId="0">
      <selection activeCell="O24" sqref="O2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71</v>
      </c>
      <c r="E5" s="88" t="s">
        <v>463</v>
      </c>
      <c r="F5" s="89">
        <v>1488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140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92">
        <v>298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121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400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90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50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100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92">
        <v>50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92">
        <v>50</v>
      </c>
    </row>
    <row r="16" spans="2:6">
      <c r="B16" s="90" t="s">
        <v>17</v>
      </c>
      <c r="C16" s="91" t="s">
        <v>6</v>
      </c>
      <c r="D16" s="91" t="s">
        <v>57</v>
      </c>
      <c r="E16" s="91" t="s">
        <v>58</v>
      </c>
      <c r="F16" s="92">
        <v>92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110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414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92">
        <v>11</v>
      </c>
    </row>
    <row r="20" spans="2:6">
      <c r="B20" s="90" t="s">
        <v>17</v>
      </c>
      <c r="C20" s="91" t="s">
        <v>6</v>
      </c>
      <c r="D20" s="91" t="s">
        <v>25</v>
      </c>
      <c r="E20" s="91" t="s">
        <v>26</v>
      </c>
      <c r="F20" s="92">
        <v>200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18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20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10</v>
      </c>
    </row>
    <row r="24" spans="2:6" ht="17" thickBot="1">
      <c r="B24" s="93" t="s">
        <v>17</v>
      </c>
      <c r="C24" s="94" t="s">
        <v>6</v>
      </c>
      <c r="D24" s="94" t="s">
        <v>457</v>
      </c>
      <c r="E24" s="94" t="s">
        <v>478</v>
      </c>
      <c r="F24" s="95">
        <v>750</v>
      </c>
    </row>
    <row r="25" spans="2:6">
      <c r="B25" s="139" t="s">
        <v>27</v>
      </c>
      <c r="C25" s="140" t="s">
        <v>18</v>
      </c>
      <c r="D25" s="140" t="s">
        <v>61</v>
      </c>
      <c r="E25" s="140" t="s">
        <v>62</v>
      </c>
      <c r="F25" s="141">
        <v>100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104">
        <v>0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50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30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100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50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75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104">
        <v>95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104">
        <v>20</v>
      </c>
    </row>
    <row r="35" spans="2:6" ht="17" thickBot="1">
      <c r="B35" s="102" t="s">
        <v>27</v>
      </c>
      <c r="C35" s="103" t="s">
        <v>6</v>
      </c>
      <c r="D35" s="103" t="s">
        <v>259</v>
      </c>
      <c r="E35" s="103" t="s">
        <v>39</v>
      </c>
      <c r="F35" s="104">
        <v>598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121">
        <v>20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123">
        <v>0</v>
      </c>
    </row>
    <row r="38" spans="2:6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493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126">
        <v>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DF0C-AF77-2D41-B911-41555541534B}">
  <dimension ref="B3:L27"/>
  <sheetViews>
    <sheetView showGridLines="0" workbookViewId="0">
      <selection activeCell="H20" sqref="H20:L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251</v>
      </c>
      <c r="E5" s="211" t="s">
        <v>252</v>
      </c>
      <c r="F5" s="279">
        <v>20</v>
      </c>
    </row>
    <row r="6" spans="2:6">
      <c r="B6" s="90" t="s">
        <v>17</v>
      </c>
      <c r="C6" s="91" t="s">
        <v>6</v>
      </c>
      <c r="D6" s="91" t="s">
        <v>21</v>
      </c>
      <c r="E6" s="91" t="s">
        <v>22</v>
      </c>
      <c r="F6" s="92">
        <v>160</v>
      </c>
    </row>
    <row r="7" spans="2:6">
      <c r="B7" s="90" t="s">
        <v>17</v>
      </c>
      <c r="C7" s="91" t="s">
        <v>6</v>
      </c>
      <c r="D7" s="91" t="s">
        <v>11</v>
      </c>
      <c r="E7" s="91" t="s">
        <v>466</v>
      </c>
      <c r="F7" s="92">
        <v>539</v>
      </c>
    </row>
    <row r="8" spans="2:6">
      <c r="B8" s="90" t="s">
        <v>17</v>
      </c>
      <c r="C8" s="91" t="s">
        <v>6</v>
      </c>
      <c r="D8" s="91" t="s">
        <v>71</v>
      </c>
      <c r="E8" s="91" t="s">
        <v>463</v>
      </c>
      <c r="F8" s="92">
        <v>996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28</v>
      </c>
    </row>
    <row r="10" spans="2:6">
      <c r="B10" s="90" t="s">
        <v>17</v>
      </c>
      <c r="C10" s="91" t="s">
        <v>6</v>
      </c>
      <c r="D10" s="91" t="s">
        <v>25</v>
      </c>
      <c r="E10" s="91" t="s">
        <v>26</v>
      </c>
      <c r="F10" s="92">
        <v>100</v>
      </c>
    </row>
    <row r="11" spans="2:6">
      <c r="B11" s="90" t="s">
        <v>17</v>
      </c>
      <c r="C11" s="91" t="s">
        <v>6</v>
      </c>
      <c r="D11" s="91" t="s">
        <v>67</v>
      </c>
      <c r="E11" s="91" t="s">
        <v>68</v>
      </c>
      <c r="F11" s="92">
        <v>160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92">
        <v>16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92">
        <v>104</v>
      </c>
    </row>
    <row r="14" spans="2:6" ht="17" thickBot="1">
      <c r="B14" s="90" t="s">
        <v>17</v>
      </c>
      <c r="C14" s="91" t="s">
        <v>6</v>
      </c>
      <c r="D14" s="91" t="s">
        <v>457</v>
      </c>
      <c r="E14" s="91" t="s">
        <v>478</v>
      </c>
      <c r="F14" s="92">
        <v>995</v>
      </c>
    </row>
    <row r="15" spans="2:6">
      <c r="B15" s="99" t="s">
        <v>27</v>
      </c>
      <c r="C15" s="100" t="s">
        <v>18</v>
      </c>
      <c r="D15" s="100" t="s">
        <v>28</v>
      </c>
      <c r="E15" s="100" t="s">
        <v>29</v>
      </c>
      <c r="F15" s="101">
        <v>0</v>
      </c>
    </row>
    <row r="16" spans="2:6">
      <c r="B16" s="102" t="s">
        <v>27</v>
      </c>
      <c r="C16" s="103" t="s">
        <v>18</v>
      </c>
      <c r="D16" s="103" t="s">
        <v>7</v>
      </c>
      <c r="E16" s="103" t="s">
        <v>461</v>
      </c>
      <c r="F16" s="104">
        <v>36</v>
      </c>
    </row>
    <row r="17" spans="2:12">
      <c r="B17" s="102" t="s">
        <v>27</v>
      </c>
      <c r="C17" s="103" t="s">
        <v>18</v>
      </c>
      <c r="D17" s="103" t="s">
        <v>63</v>
      </c>
      <c r="E17" s="103" t="s">
        <v>64</v>
      </c>
      <c r="F17" s="104">
        <v>18</v>
      </c>
    </row>
    <row r="18" spans="2:12">
      <c r="B18" s="102" t="s">
        <v>27</v>
      </c>
      <c r="C18" s="103" t="s">
        <v>18</v>
      </c>
      <c r="D18" s="103" t="s">
        <v>262</v>
      </c>
      <c r="E18" s="103" t="s">
        <v>263</v>
      </c>
      <c r="F18" s="104">
        <v>89</v>
      </c>
    </row>
    <row r="19" spans="2:12" ht="17" thickBot="1">
      <c r="B19" s="102" t="s">
        <v>27</v>
      </c>
      <c r="C19" s="103" t="s">
        <v>6</v>
      </c>
      <c r="D19" s="103" t="s">
        <v>61</v>
      </c>
      <c r="E19" s="103" t="s">
        <v>62</v>
      </c>
      <c r="F19" s="104">
        <v>103</v>
      </c>
    </row>
    <row r="20" spans="2:12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110</v>
      </c>
      <c r="H20" s="343" t="s">
        <v>472</v>
      </c>
      <c r="I20" s="344"/>
      <c r="K20" s="345" t="s">
        <v>475</v>
      </c>
      <c r="L20" s="346"/>
    </row>
    <row r="21" spans="2:12">
      <c r="B21" s="102" t="s">
        <v>27</v>
      </c>
      <c r="C21" s="103" t="s">
        <v>6</v>
      </c>
      <c r="D21" s="103" t="s">
        <v>34</v>
      </c>
      <c r="E21" s="103" t="s">
        <v>35</v>
      </c>
      <c r="F21" s="104">
        <v>100</v>
      </c>
      <c r="H21" s="295" t="s">
        <v>2</v>
      </c>
      <c r="I21" s="296" t="s">
        <v>4</v>
      </c>
      <c r="K21" s="291">
        <v>1204.67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50</v>
      </c>
      <c r="H22" s="297" t="s">
        <v>463</v>
      </c>
      <c r="I22" s="298">
        <f>F8</f>
        <v>996</v>
      </c>
      <c r="K22" s="294">
        <f>K21-I25</f>
        <v>48.670000000000073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40</v>
      </c>
      <c r="H23" s="297" t="s">
        <v>22</v>
      </c>
      <c r="I23" s="298">
        <f>F6</f>
        <v>160</v>
      </c>
    </row>
    <row r="24" spans="2:12" ht="17" thickBot="1">
      <c r="B24" s="102" t="s">
        <v>27</v>
      </c>
      <c r="C24" s="103" t="s">
        <v>6</v>
      </c>
      <c r="D24" s="103" t="s">
        <v>81</v>
      </c>
      <c r="E24" s="103" t="s">
        <v>82</v>
      </c>
      <c r="F24" s="104">
        <v>291</v>
      </c>
      <c r="H24" s="299" t="s">
        <v>479</v>
      </c>
      <c r="I24" s="300">
        <v>0</v>
      </c>
    </row>
    <row r="25" spans="2:12" ht="17" thickBot="1">
      <c r="B25" s="102" t="s">
        <v>27</v>
      </c>
      <c r="C25" s="103" t="s">
        <v>6</v>
      </c>
      <c r="D25" s="103" t="s">
        <v>228</v>
      </c>
      <c r="E25" s="103" t="s">
        <v>470</v>
      </c>
      <c r="F25" s="104">
        <v>85</v>
      </c>
      <c r="H25" s="301" t="s">
        <v>76</v>
      </c>
      <c r="I25" s="302">
        <f>SUM(I22:I24)</f>
        <v>1156</v>
      </c>
    </row>
    <row r="26" spans="2:12">
      <c r="B26" s="119" t="s">
        <v>40</v>
      </c>
      <c r="C26" s="120" t="s">
        <v>18</v>
      </c>
      <c r="D26" s="120" t="s">
        <v>440</v>
      </c>
      <c r="E26" s="120" t="s">
        <v>477</v>
      </c>
      <c r="F26" s="121">
        <v>0</v>
      </c>
    </row>
    <row r="27" spans="2:12" ht="17" thickBot="1">
      <c r="B27" s="124" t="s">
        <v>40</v>
      </c>
      <c r="C27" s="125" t="s">
        <v>6</v>
      </c>
      <c r="D27" s="125" t="s">
        <v>45</v>
      </c>
      <c r="E27" s="125" t="s">
        <v>46</v>
      </c>
      <c r="F27" s="126">
        <v>50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60A7-9051-8C41-8786-AD6762C62032}">
  <dimension ref="B3:G38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51</v>
      </c>
      <c r="E5" s="211" t="s">
        <v>460</v>
      </c>
      <c r="F5" s="212">
        <v>51</v>
      </c>
    </row>
    <row r="6" spans="2:6">
      <c r="B6" s="213" t="s">
        <v>17</v>
      </c>
      <c r="C6" s="91" t="s">
        <v>18</v>
      </c>
      <c r="D6" s="91" t="s">
        <v>120</v>
      </c>
      <c r="E6" s="91" t="s">
        <v>450</v>
      </c>
      <c r="F6" s="214">
        <v>50</v>
      </c>
    </row>
    <row r="7" spans="2:6">
      <c r="B7" s="213" t="s">
        <v>17</v>
      </c>
      <c r="C7" s="91" t="s">
        <v>18</v>
      </c>
      <c r="D7" s="91" t="s">
        <v>71</v>
      </c>
      <c r="E7" s="91" t="s">
        <v>463</v>
      </c>
      <c r="F7" s="214">
        <v>249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36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141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250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25</v>
      </c>
    </row>
    <row r="12" spans="2:6">
      <c r="B12" s="213" t="s">
        <v>17</v>
      </c>
      <c r="C12" s="91" t="s">
        <v>6</v>
      </c>
      <c r="D12" s="91" t="s">
        <v>55</v>
      </c>
      <c r="E12" s="91" t="s">
        <v>56</v>
      </c>
      <c r="F12" s="214">
        <v>25</v>
      </c>
    </row>
    <row r="13" spans="2:6">
      <c r="B13" s="213" t="s">
        <v>17</v>
      </c>
      <c r="C13" s="91" t="s">
        <v>6</v>
      </c>
      <c r="D13" s="91" t="s">
        <v>43</v>
      </c>
      <c r="E13" s="91" t="s">
        <v>459</v>
      </c>
      <c r="F13" s="214">
        <v>100</v>
      </c>
    </row>
    <row r="14" spans="2:6">
      <c r="B14" s="213" t="s">
        <v>17</v>
      </c>
      <c r="C14" s="91" t="s">
        <v>6</v>
      </c>
      <c r="D14" s="91" t="s">
        <v>21</v>
      </c>
      <c r="E14" s="91" t="s">
        <v>22</v>
      </c>
      <c r="F14" s="214">
        <v>1125</v>
      </c>
    </row>
    <row r="15" spans="2:6">
      <c r="B15" s="213" t="s">
        <v>17</v>
      </c>
      <c r="C15" s="91" t="s">
        <v>6</v>
      </c>
      <c r="D15" s="91" t="s">
        <v>11</v>
      </c>
      <c r="E15" s="91" t="s">
        <v>466</v>
      </c>
      <c r="F15" s="214">
        <v>619</v>
      </c>
    </row>
    <row r="16" spans="2:6">
      <c r="B16" s="213" t="s">
        <v>17</v>
      </c>
      <c r="C16" s="91" t="s">
        <v>6</v>
      </c>
      <c r="D16" s="91" t="s">
        <v>25</v>
      </c>
      <c r="E16" s="91" t="s">
        <v>26</v>
      </c>
      <c r="F16" s="214">
        <v>45</v>
      </c>
    </row>
    <row r="17" spans="2:6" ht="17" thickBot="1">
      <c r="B17" s="215" t="s">
        <v>17</v>
      </c>
      <c r="C17" s="216" t="s">
        <v>6</v>
      </c>
      <c r="D17" s="216" t="s">
        <v>59</v>
      </c>
      <c r="E17" s="216" t="s">
        <v>104</v>
      </c>
      <c r="F17" s="217">
        <v>11</v>
      </c>
    </row>
    <row r="18" spans="2:6">
      <c r="B18" s="139" t="s">
        <v>27</v>
      </c>
      <c r="C18" s="140" t="s">
        <v>18</v>
      </c>
      <c r="D18" s="140" t="s">
        <v>61</v>
      </c>
      <c r="E18" s="140" t="s">
        <v>62</v>
      </c>
      <c r="F18" s="141">
        <v>630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104">
        <v>1</v>
      </c>
    </row>
    <row r="21" spans="2:6">
      <c r="B21" s="102" t="s">
        <v>27</v>
      </c>
      <c r="C21" s="103" t="s">
        <v>18</v>
      </c>
      <c r="D21" s="103" t="s">
        <v>32</v>
      </c>
      <c r="E21" s="103" t="s">
        <v>33</v>
      </c>
      <c r="F21" s="104">
        <v>258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130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152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397</v>
      </c>
    </row>
    <row r="25" spans="2:6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1045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50</v>
      </c>
    </row>
    <row r="27" spans="2:6">
      <c r="B27" s="102" t="s">
        <v>27</v>
      </c>
      <c r="C27" s="103" t="s">
        <v>6</v>
      </c>
      <c r="D27" s="103" t="s">
        <v>63</v>
      </c>
      <c r="E27" s="103" t="s">
        <v>64</v>
      </c>
      <c r="F27" s="104">
        <v>70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94</v>
      </c>
    </row>
    <row r="29" spans="2:6">
      <c r="B29" s="102" t="s">
        <v>27</v>
      </c>
      <c r="C29" s="103" t="s">
        <v>6</v>
      </c>
      <c r="D29" s="103" t="s">
        <v>259</v>
      </c>
      <c r="E29" s="103" t="s">
        <v>39</v>
      </c>
      <c r="F29" s="104">
        <v>598</v>
      </c>
    </row>
    <row r="30" spans="2:6" ht="17" thickBot="1">
      <c r="B30" s="102" t="s">
        <v>27</v>
      </c>
      <c r="C30" s="103" t="s">
        <v>6</v>
      </c>
      <c r="D30" s="103" t="s">
        <v>262</v>
      </c>
      <c r="E30" s="103" t="s">
        <v>263</v>
      </c>
      <c r="F30" s="104">
        <v>33</v>
      </c>
    </row>
    <row r="31" spans="2:6">
      <c r="B31" s="119" t="s">
        <v>40</v>
      </c>
      <c r="C31" s="120" t="s">
        <v>18</v>
      </c>
      <c r="D31" s="120" t="s">
        <v>65</v>
      </c>
      <c r="E31" s="120" t="s">
        <v>66</v>
      </c>
      <c r="F31" s="121">
        <v>20</v>
      </c>
    </row>
    <row r="32" spans="2:6">
      <c r="B32" s="122" t="s">
        <v>40</v>
      </c>
      <c r="C32" s="118" t="s">
        <v>18</v>
      </c>
      <c r="D32" s="118" t="s">
        <v>257</v>
      </c>
      <c r="E32" s="118" t="s">
        <v>258</v>
      </c>
      <c r="F32" s="123">
        <v>84</v>
      </c>
    </row>
    <row r="33" spans="2:7">
      <c r="B33" s="122" t="s">
        <v>40</v>
      </c>
      <c r="C33" s="118" t="s">
        <v>18</v>
      </c>
      <c r="D33" s="118" t="s">
        <v>440</v>
      </c>
      <c r="E33" s="118" t="s">
        <v>477</v>
      </c>
      <c r="F33" s="123">
        <v>0</v>
      </c>
    </row>
    <row r="34" spans="2:7" ht="17" thickBot="1">
      <c r="B34" s="124" t="s">
        <v>40</v>
      </c>
      <c r="C34" s="125" t="s">
        <v>6</v>
      </c>
      <c r="D34" s="125" t="s">
        <v>45</v>
      </c>
      <c r="E34" s="125" t="s">
        <v>46</v>
      </c>
      <c r="F34" s="126">
        <v>85</v>
      </c>
    </row>
    <row r="38" spans="2:7">
      <c r="G38" t="s">
        <v>480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E58F-CF00-2142-97BE-DF15EA99614D}">
  <dimension ref="B3:L34"/>
  <sheetViews>
    <sheetView showGridLines="0" topLeftCell="A3" workbookViewId="0">
      <selection activeCell="H21" sqref="H21:L26"/>
    </sheetView>
  </sheetViews>
  <sheetFormatPr baseColWidth="10" defaultRowHeight="16"/>
  <cols>
    <col min="5" max="5" width="15" bestFit="1" customWidth="1"/>
    <col min="12" max="12" width="15.332031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253</v>
      </c>
    </row>
    <row r="6" spans="2:6">
      <c r="B6" s="213" t="s">
        <v>17</v>
      </c>
      <c r="C6" s="91" t="s">
        <v>18</v>
      </c>
      <c r="D6" s="91" t="s">
        <v>51</v>
      </c>
      <c r="E6" s="91" t="s">
        <v>460</v>
      </c>
      <c r="F6" s="214">
        <v>130</v>
      </c>
    </row>
    <row r="7" spans="2:6">
      <c r="B7" s="213" t="s">
        <v>17</v>
      </c>
      <c r="C7" s="91" t="s">
        <v>18</v>
      </c>
      <c r="D7" s="91" t="s">
        <v>120</v>
      </c>
      <c r="E7" s="91" t="s">
        <v>450</v>
      </c>
      <c r="F7" s="214">
        <v>0</v>
      </c>
    </row>
    <row r="8" spans="2:6">
      <c r="B8" s="213" t="s">
        <v>17</v>
      </c>
      <c r="C8" s="91" t="s">
        <v>18</v>
      </c>
      <c r="D8" s="91" t="s">
        <v>71</v>
      </c>
      <c r="E8" s="91" t="s">
        <v>463</v>
      </c>
      <c r="F8" s="214">
        <v>2</v>
      </c>
    </row>
    <row r="9" spans="2:6">
      <c r="B9" s="213" t="s">
        <v>17</v>
      </c>
      <c r="C9" s="91" t="s">
        <v>18</v>
      </c>
      <c r="D9" s="91" t="s">
        <v>221</v>
      </c>
      <c r="E9" s="91" t="s">
        <v>230</v>
      </c>
      <c r="F9" s="214">
        <v>15</v>
      </c>
    </row>
    <row r="10" spans="2:6">
      <c r="B10" s="213" t="s">
        <v>17</v>
      </c>
      <c r="C10" s="91" t="s">
        <v>18</v>
      </c>
      <c r="D10" s="91" t="s">
        <v>251</v>
      </c>
      <c r="E10" s="91" t="s">
        <v>252</v>
      </c>
      <c r="F10" s="214">
        <v>36</v>
      </c>
    </row>
    <row r="11" spans="2:6">
      <c r="B11" s="213" t="s">
        <v>17</v>
      </c>
      <c r="C11" s="91" t="s">
        <v>6</v>
      </c>
      <c r="D11" s="91" t="s">
        <v>55</v>
      </c>
      <c r="E11" s="91" t="s">
        <v>56</v>
      </c>
      <c r="F11" s="214">
        <v>50</v>
      </c>
    </row>
    <row r="12" spans="2:6">
      <c r="B12" s="213" t="s">
        <v>17</v>
      </c>
      <c r="C12" s="91" t="s">
        <v>6</v>
      </c>
      <c r="D12" s="91" t="s">
        <v>43</v>
      </c>
      <c r="E12" s="91" t="s">
        <v>459</v>
      </c>
      <c r="F12" s="214">
        <v>100</v>
      </c>
    </row>
    <row r="13" spans="2:6">
      <c r="B13" s="213" t="s">
        <v>17</v>
      </c>
      <c r="C13" s="91" t="s">
        <v>6</v>
      </c>
      <c r="D13" s="91" t="s">
        <v>11</v>
      </c>
      <c r="E13" s="91" t="s">
        <v>466</v>
      </c>
      <c r="F13" s="214">
        <v>400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74</v>
      </c>
    </row>
    <row r="15" spans="2:6">
      <c r="B15" s="213" t="s">
        <v>17</v>
      </c>
      <c r="C15" s="91" t="s">
        <v>6</v>
      </c>
      <c r="D15" s="91" t="s">
        <v>67</v>
      </c>
      <c r="E15" s="91" t="s">
        <v>68</v>
      </c>
      <c r="F15" s="214">
        <v>100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62</v>
      </c>
    </row>
    <row r="17" spans="2:12" ht="17" thickBot="1">
      <c r="B17" s="215" t="s">
        <v>17</v>
      </c>
      <c r="C17" s="216" t="s">
        <v>6</v>
      </c>
      <c r="D17" s="216" t="s">
        <v>128</v>
      </c>
      <c r="E17" s="216" t="s">
        <v>250</v>
      </c>
      <c r="F17" s="217">
        <v>149</v>
      </c>
    </row>
    <row r="18" spans="2:12">
      <c r="B18" s="218" t="s">
        <v>27</v>
      </c>
      <c r="C18" s="219" t="s">
        <v>18</v>
      </c>
      <c r="D18" s="219" t="s">
        <v>7</v>
      </c>
      <c r="E18" s="219" t="s">
        <v>461</v>
      </c>
      <c r="F18" s="220">
        <v>52</v>
      </c>
    </row>
    <row r="19" spans="2:12">
      <c r="B19" s="221" t="s">
        <v>27</v>
      </c>
      <c r="C19" s="103" t="s">
        <v>18</v>
      </c>
      <c r="D19" s="103" t="s">
        <v>81</v>
      </c>
      <c r="E19" s="103" t="s">
        <v>82</v>
      </c>
      <c r="F19" s="222">
        <v>925</v>
      </c>
    </row>
    <row r="20" spans="2:12" ht="17" thickBot="1">
      <c r="B20" s="221" t="s">
        <v>27</v>
      </c>
      <c r="C20" s="103" t="s">
        <v>6</v>
      </c>
      <c r="D20" s="103" t="s">
        <v>61</v>
      </c>
      <c r="E20" s="103" t="s">
        <v>62</v>
      </c>
      <c r="F20" s="222">
        <v>260</v>
      </c>
    </row>
    <row r="21" spans="2:12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200</v>
      </c>
      <c r="H21" s="343" t="s">
        <v>472</v>
      </c>
      <c r="I21" s="344"/>
      <c r="K21" s="345" t="s">
        <v>475</v>
      </c>
      <c r="L21" s="346"/>
    </row>
    <row r="22" spans="2:12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147</v>
      </c>
      <c r="H22" s="295" t="s">
        <v>2</v>
      </c>
      <c r="I22" s="296" t="s">
        <v>4</v>
      </c>
      <c r="K22" s="291">
        <v>0</v>
      </c>
      <c r="L22" s="292" t="s">
        <v>473</v>
      </c>
    </row>
    <row r="23" spans="2:12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  <c r="H23" s="297" t="s">
        <v>250</v>
      </c>
      <c r="I23" s="298">
        <f>F17</f>
        <v>149</v>
      </c>
      <c r="K23" s="294">
        <f>K22-I26</f>
        <v>-323</v>
      </c>
      <c r="L23" s="293" t="s">
        <v>474</v>
      </c>
    </row>
    <row r="24" spans="2:12">
      <c r="B24" s="221" t="s">
        <v>27</v>
      </c>
      <c r="C24" s="103" t="s">
        <v>6</v>
      </c>
      <c r="D24" s="103" t="s">
        <v>9</v>
      </c>
      <c r="E24" s="103" t="s">
        <v>105</v>
      </c>
      <c r="F24" s="222">
        <v>170</v>
      </c>
      <c r="H24" s="297" t="s">
        <v>481</v>
      </c>
      <c r="I24" s="298">
        <f>F15</f>
        <v>100</v>
      </c>
    </row>
    <row r="25" spans="2:12" ht="17" thickBot="1">
      <c r="B25" s="221" t="s">
        <v>27</v>
      </c>
      <c r="C25" s="103" t="s">
        <v>6</v>
      </c>
      <c r="D25" s="103" t="s">
        <v>53</v>
      </c>
      <c r="E25" s="103" t="s">
        <v>123</v>
      </c>
      <c r="F25" s="222">
        <v>50</v>
      </c>
      <c r="H25" s="299" t="s">
        <v>20</v>
      </c>
      <c r="I25" s="300">
        <f>F14</f>
        <v>74</v>
      </c>
    </row>
    <row r="26" spans="2:12" ht="17" thickBot="1">
      <c r="B26" s="221" t="s">
        <v>27</v>
      </c>
      <c r="C26" s="103" t="s">
        <v>6</v>
      </c>
      <c r="D26" s="103" t="s">
        <v>36</v>
      </c>
      <c r="E26" s="103" t="s">
        <v>37</v>
      </c>
      <c r="F26" s="222">
        <v>143</v>
      </c>
      <c r="H26" s="301" t="s">
        <v>76</v>
      </c>
      <c r="I26" s="302">
        <f>SUM(I23:I25)</f>
        <v>323</v>
      </c>
    </row>
    <row r="27" spans="2:12">
      <c r="B27" s="221" t="s">
        <v>27</v>
      </c>
      <c r="C27" s="103" t="s">
        <v>6</v>
      </c>
      <c r="D27" s="103" t="s">
        <v>63</v>
      </c>
      <c r="E27" s="103" t="s">
        <v>64</v>
      </c>
      <c r="F27" s="222">
        <v>75</v>
      </c>
    </row>
    <row r="28" spans="2:12">
      <c r="B28" s="221" t="s">
        <v>27</v>
      </c>
      <c r="C28" s="103" t="s">
        <v>6</v>
      </c>
      <c r="D28" s="103" t="s">
        <v>228</v>
      </c>
      <c r="E28" s="103" t="s">
        <v>470</v>
      </c>
      <c r="F28" s="222">
        <v>115</v>
      </c>
    </row>
    <row r="29" spans="2:12">
      <c r="B29" s="221" t="s">
        <v>27</v>
      </c>
      <c r="C29" s="103" t="s">
        <v>6</v>
      </c>
      <c r="D29" s="103" t="s">
        <v>246</v>
      </c>
      <c r="E29" s="103" t="s">
        <v>462</v>
      </c>
      <c r="F29" s="222">
        <v>400</v>
      </c>
    </row>
    <row r="30" spans="2:12">
      <c r="B30" s="221" t="s">
        <v>27</v>
      </c>
      <c r="C30" s="103" t="s">
        <v>6</v>
      </c>
      <c r="D30" s="103" t="s">
        <v>259</v>
      </c>
      <c r="E30" s="103" t="s">
        <v>39</v>
      </c>
      <c r="F30" s="222">
        <v>704</v>
      </c>
    </row>
    <row r="31" spans="2:12" ht="17" thickBot="1">
      <c r="B31" s="223" t="s">
        <v>27</v>
      </c>
      <c r="C31" s="224" t="s">
        <v>6</v>
      </c>
      <c r="D31" s="224" t="s">
        <v>262</v>
      </c>
      <c r="E31" s="224" t="s">
        <v>263</v>
      </c>
      <c r="F31" s="225">
        <v>108</v>
      </c>
    </row>
    <row r="32" spans="2:12">
      <c r="B32" s="133" t="s">
        <v>40</v>
      </c>
      <c r="C32" s="134" t="s">
        <v>18</v>
      </c>
      <c r="D32" s="134" t="s">
        <v>440</v>
      </c>
      <c r="E32" s="134" t="s">
        <v>477</v>
      </c>
      <c r="F32" s="135">
        <v>0</v>
      </c>
    </row>
    <row r="33" spans="2:6">
      <c r="B33" s="122" t="s">
        <v>40</v>
      </c>
      <c r="C33" s="118" t="s">
        <v>6</v>
      </c>
      <c r="D33" s="118" t="s">
        <v>45</v>
      </c>
      <c r="E33" s="118" t="s">
        <v>46</v>
      </c>
      <c r="F33" s="123">
        <v>328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12</v>
      </c>
    </row>
  </sheetData>
  <mergeCells count="2">
    <mergeCell ref="H21:I21"/>
    <mergeCell ref="K21:L2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CE13-CE36-8446-A803-7F37626A06C6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750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71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5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92">
        <v>11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60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53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48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288</v>
      </c>
    </row>
    <row r="14" spans="2:6">
      <c r="B14" s="90" t="s">
        <v>17</v>
      </c>
      <c r="C14" s="91" t="s">
        <v>6</v>
      </c>
      <c r="D14" s="91" t="s">
        <v>221</v>
      </c>
      <c r="E14" s="91" t="s">
        <v>230</v>
      </c>
      <c r="F14" s="92">
        <v>55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92">
        <v>19</v>
      </c>
    </row>
    <row r="16" spans="2:6" ht="17" thickBot="1">
      <c r="B16" s="90" t="s">
        <v>27</v>
      </c>
      <c r="C16" s="91" t="s">
        <v>18</v>
      </c>
      <c r="D16" s="91" t="s">
        <v>61</v>
      </c>
      <c r="E16" s="91" t="s">
        <v>62</v>
      </c>
      <c r="F16" s="92">
        <v>20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119</v>
      </c>
    </row>
    <row r="18" spans="2:6">
      <c r="B18" s="102" t="s">
        <v>27</v>
      </c>
      <c r="C18" s="103" t="s">
        <v>18</v>
      </c>
      <c r="D18" s="103" t="s">
        <v>81</v>
      </c>
      <c r="E18" s="103" t="s">
        <v>82</v>
      </c>
      <c r="F18" s="104">
        <v>44</v>
      </c>
    </row>
    <row r="19" spans="2:6">
      <c r="B19" s="102" t="s">
        <v>27</v>
      </c>
      <c r="C19" s="103" t="s">
        <v>18</v>
      </c>
      <c r="D19" s="103" t="s">
        <v>246</v>
      </c>
      <c r="E19" s="103" t="s">
        <v>462</v>
      </c>
      <c r="F19" s="104">
        <v>1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10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100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207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82</v>
      </c>
    </row>
    <row r="24" spans="2:6">
      <c r="B24" s="102" t="s">
        <v>27</v>
      </c>
      <c r="C24" s="103" t="s">
        <v>6</v>
      </c>
      <c r="D24" s="103" t="s">
        <v>9</v>
      </c>
      <c r="E24" s="103" t="s">
        <v>105</v>
      </c>
      <c r="F24" s="104">
        <v>180</v>
      </c>
    </row>
    <row r="25" spans="2: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100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104">
        <v>85</v>
      </c>
    </row>
    <row r="27" spans="2:6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59</v>
      </c>
    </row>
    <row r="28" spans="2:6">
      <c r="B28" s="119" t="s">
        <v>40</v>
      </c>
      <c r="C28" s="120" t="s">
        <v>18</v>
      </c>
      <c r="D28" s="120" t="s">
        <v>440</v>
      </c>
      <c r="E28" s="120" t="s">
        <v>477</v>
      </c>
      <c r="F28" s="121">
        <v>0</v>
      </c>
    </row>
    <row r="29" spans="2:6" ht="17" thickBot="1">
      <c r="B29" s="124" t="s">
        <v>40</v>
      </c>
      <c r="C29" s="125" t="s">
        <v>6</v>
      </c>
      <c r="D29" s="125" t="s">
        <v>45</v>
      </c>
      <c r="E29" s="125" t="s">
        <v>46</v>
      </c>
      <c r="F29" s="126">
        <v>460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6919-F7F2-D347-9C2E-55C414A85286}">
  <dimension ref="B3:F25"/>
  <sheetViews>
    <sheetView showGridLines="0" workbookViewId="0">
      <selection activeCell="B4" sqref="B4:F2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125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586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31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10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5</v>
      </c>
    </row>
    <row r="13" spans="2:6" ht="17" thickBot="1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131</v>
      </c>
    </row>
    <row r="14" spans="2:6">
      <c r="B14" s="99" t="s">
        <v>27</v>
      </c>
      <c r="C14" s="100" t="s">
        <v>18</v>
      </c>
      <c r="D14" s="100" t="s">
        <v>28</v>
      </c>
      <c r="E14" s="100" t="s">
        <v>29</v>
      </c>
      <c r="F14" s="101">
        <v>0</v>
      </c>
    </row>
    <row r="15" spans="2:6">
      <c r="B15" s="102" t="s">
        <v>27</v>
      </c>
      <c r="C15" s="103" t="s">
        <v>18</v>
      </c>
      <c r="D15" s="103" t="s">
        <v>34</v>
      </c>
      <c r="E15" s="103" t="s">
        <v>35</v>
      </c>
      <c r="F15" s="104">
        <v>169</v>
      </c>
    </row>
    <row r="16" spans="2:6">
      <c r="B16" s="102" t="s">
        <v>27</v>
      </c>
      <c r="C16" s="103" t="s">
        <v>18</v>
      </c>
      <c r="D16" s="103" t="s">
        <v>9</v>
      </c>
      <c r="E16" s="103" t="s">
        <v>105</v>
      </c>
      <c r="F16" s="104">
        <v>259</v>
      </c>
    </row>
    <row r="17" spans="2:6">
      <c r="B17" s="102" t="s">
        <v>27</v>
      </c>
      <c r="C17" s="103" t="s">
        <v>6</v>
      </c>
      <c r="D17" s="103" t="s">
        <v>30</v>
      </c>
      <c r="E17" s="103" t="s">
        <v>31</v>
      </c>
      <c r="F17" s="104">
        <v>30</v>
      </c>
    </row>
    <row r="18" spans="2:6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25</v>
      </c>
    </row>
    <row r="19" spans="2:6">
      <c r="B19" s="102" t="s">
        <v>27</v>
      </c>
      <c r="C19" s="103" t="s">
        <v>6</v>
      </c>
      <c r="D19" s="103" t="s">
        <v>53</v>
      </c>
      <c r="E19" s="103" t="s">
        <v>123</v>
      </c>
      <c r="F19" s="104">
        <v>100</v>
      </c>
    </row>
    <row r="20" spans="2:6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109</v>
      </c>
    </row>
    <row r="21" spans="2:6">
      <c r="B21" s="102" t="s">
        <v>27</v>
      </c>
      <c r="C21" s="103" t="s">
        <v>6</v>
      </c>
      <c r="D21" s="103" t="s">
        <v>63</v>
      </c>
      <c r="E21" s="103" t="s">
        <v>64</v>
      </c>
      <c r="F21" s="104">
        <v>5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104">
        <v>58</v>
      </c>
    </row>
    <row r="23" spans="2:6" ht="17" thickBot="1">
      <c r="B23" s="102" t="s">
        <v>27</v>
      </c>
      <c r="C23" s="103" t="s">
        <v>6</v>
      </c>
      <c r="D23" s="103" t="s">
        <v>228</v>
      </c>
      <c r="E23" s="103" t="s">
        <v>470</v>
      </c>
      <c r="F23" s="104">
        <v>32</v>
      </c>
    </row>
    <row r="24" spans="2:6">
      <c r="B24" s="119" t="s">
        <v>40</v>
      </c>
      <c r="C24" s="120" t="s">
        <v>18</v>
      </c>
      <c r="D24" s="120" t="s">
        <v>65</v>
      </c>
      <c r="E24" s="120" t="s">
        <v>66</v>
      </c>
      <c r="F24" s="121">
        <v>26</v>
      </c>
    </row>
    <row r="25" spans="2:6" ht="17" thickBot="1">
      <c r="B25" s="124" t="s">
        <v>40</v>
      </c>
      <c r="C25" s="125" t="s">
        <v>18</v>
      </c>
      <c r="D25" s="125" t="s">
        <v>440</v>
      </c>
      <c r="E25" s="125" t="s">
        <v>477</v>
      </c>
      <c r="F25" s="126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1754-FDD8-7740-B757-912229B47222}">
  <dimension ref="B3:F22"/>
  <sheetViews>
    <sheetView showGridLines="0" workbookViewId="0">
      <selection activeCell="B4" sqref="B4:F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37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3388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31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92">
        <v>45</v>
      </c>
    </row>
    <row r="9" spans="2:6">
      <c r="B9" s="90" t="s">
        <v>17</v>
      </c>
      <c r="C9" s="91" t="s">
        <v>6</v>
      </c>
      <c r="D9" s="91" t="s">
        <v>120</v>
      </c>
      <c r="E9" s="91" t="s">
        <v>450</v>
      </c>
      <c r="F9" s="92">
        <v>65</v>
      </c>
    </row>
    <row r="10" spans="2:6">
      <c r="B10" s="90" t="s">
        <v>17</v>
      </c>
      <c r="C10" s="91" t="s">
        <v>6</v>
      </c>
      <c r="D10" s="91" t="s">
        <v>59</v>
      </c>
      <c r="E10" s="91" t="s">
        <v>104</v>
      </c>
      <c r="F10" s="92">
        <v>32</v>
      </c>
    </row>
    <row r="11" spans="2:6">
      <c r="B11" s="90" t="s">
        <v>17</v>
      </c>
      <c r="C11" s="91" t="s">
        <v>6</v>
      </c>
      <c r="D11" s="91" t="s">
        <v>128</v>
      </c>
      <c r="E11" s="91" t="s">
        <v>250</v>
      </c>
      <c r="F11" s="92">
        <v>889</v>
      </c>
    </row>
    <row r="12" spans="2:6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20</v>
      </c>
    </row>
    <row r="13" spans="2:6" ht="17" thickBot="1">
      <c r="B13" s="90" t="s">
        <v>17</v>
      </c>
      <c r="C13" s="91" t="s">
        <v>6</v>
      </c>
      <c r="D13" s="91" t="s">
        <v>253</v>
      </c>
      <c r="E13" s="91" t="s">
        <v>254</v>
      </c>
      <c r="F13" s="92">
        <v>32</v>
      </c>
    </row>
    <row r="14" spans="2:6">
      <c r="B14" s="99" t="s">
        <v>27</v>
      </c>
      <c r="C14" s="100" t="s">
        <v>6</v>
      </c>
      <c r="D14" s="100" t="s">
        <v>32</v>
      </c>
      <c r="E14" s="100" t="s">
        <v>33</v>
      </c>
      <c r="F14" s="101">
        <v>54</v>
      </c>
    </row>
    <row r="15" spans="2:6">
      <c r="B15" s="102" t="s">
        <v>27</v>
      </c>
      <c r="C15" s="103" t="s">
        <v>6</v>
      </c>
      <c r="D15" s="103" t="s">
        <v>9</v>
      </c>
      <c r="E15" s="103" t="s">
        <v>105</v>
      </c>
      <c r="F15" s="104">
        <v>500</v>
      </c>
    </row>
    <row r="16" spans="2:6">
      <c r="B16" s="102" t="s">
        <v>27</v>
      </c>
      <c r="C16" s="103" t="s">
        <v>6</v>
      </c>
      <c r="D16" s="103" t="s">
        <v>53</v>
      </c>
      <c r="E16" s="103" t="s">
        <v>123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80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 ht="17" thickBot="1">
      <c r="B19" s="102" t="s">
        <v>27</v>
      </c>
      <c r="C19" s="103" t="s">
        <v>6</v>
      </c>
      <c r="D19" s="103" t="s">
        <v>228</v>
      </c>
      <c r="E19" s="103" t="s">
        <v>470</v>
      </c>
      <c r="F19" s="104">
        <v>185</v>
      </c>
    </row>
    <row r="20" spans="2:6">
      <c r="B20" s="119" t="s">
        <v>40</v>
      </c>
      <c r="C20" s="120" t="s">
        <v>18</v>
      </c>
      <c r="D20" s="120" t="s">
        <v>65</v>
      </c>
      <c r="E20" s="120" t="s">
        <v>66</v>
      </c>
      <c r="F20" s="121">
        <v>0</v>
      </c>
    </row>
    <row r="21" spans="2:6">
      <c r="B21" s="122" t="s">
        <v>40</v>
      </c>
      <c r="C21" s="118" t="s">
        <v>18</v>
      </c>
      <c r="D21" s="118" t="s">
        <v>440</v>
      </c>
      <c r="E21" s="118" t="s">
        <v>477</v>
      </c>
      <c r="F21" s="123">
        <v>0</v>
      </c>
    </row>
    <row r="22" spans="2:6" ht="17" thickBot="1">
      <c r="B22" s="124" t="s">
        <v>40</v>
      </c>
      <c r="C22" s="125" t="s">
        <v>6</v>
      </c>
      <c r="D22" s="125" t="s">
        <v>257</v>
      </c>
      <c r="E22" s="125" t="s">
        <v>258</v>
      </c>
      <c r="F22" s="126">
        <v>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FA29-88B6-D043-B44D-A7AB3E5E22AE}">
  <dimension ref="B3:L23"/>
  <sheetViews>
    <sheetView showGridLines="0" workbookViewId="0">
      <selection activeCell="H32" sqref="H32"/>
    </sheetView>
  </sheetViews>
  <sheetFormatPr baseColWidth="10" defaultRowHeight="16"/>
  <cols>
    <col min="4" max="4" width="12" bestFit="1" customWidth="1"/>
    <col min="12" max="12" width="15.33203125" bestFit="1" customWidth="1"/>
  </cols>
  <sheetData>
    <row r="3" spans="2:6" ht="17" thickBot="1"/>
    <row r="4" spans="2:6" ht="20" thickBot="1">
      <c r="B4" s="303" t="s">
        <v>0</v>
      </c>
      <c r="C4" s="304" t="s">
        <v>2</v>
      </c>
      <c r="D4" s="304" t="s">
        <v>3</v>
      </c>
      <c r="E4" s="304" t="s">
        <v>1</v>
      </c>
      <c r="F4" s="305" t="s">
        <v>4</v>
      </c>
    </row>
    <row r="5" spans="2:6">
      <c r="B5" s="306" t="s">
        <v>17</v>
      </c>
      <c r="C5" s="307" t="s">
        <v>25</v>
      </c>
      <c r="D5" s="307" t="s">
        <v>26</v>
      </c>
      <c r="E5" s="307" t="s">
        <v>18</v>
      </c>
      <c r="F5" s="308">
        <v>444</v>
      </c>
    </row>
    <row r="6" spans="2:6">
      <c r="B6" s="306" t="s">
        <v>17</v>
      </c>
      <c r="C6" s="307" t="s">
        <v>67</v>
      </c>
      <c r="D6" s="307" t="s">
        <v>68</v>
      </c>
      <c r="E6" s="307" t="s">
        <v>18</v>
      </c>
      <c r="F6" s="308">
        <v>425</v>
      </c>
    </row>
    <row r="7" spans="2:6">
      <c r="B7" s="306" t="s">
        <v>17</v>
      </c>
      <c r="C7" s="307" t="s">
        <v>128</v>
      </c>
      <c r="D7" s="307" t="s">
        <v>250</v>
      </c>
      <c r="E7" s="307" t="s">
        <v>18</v>
      </c>
      <c r="F7" s="308">
        <v>126</v>
      </c>
    </row>
    <row r="8" spans="2:6">
      <c r="B8" s="306" t="s">
        <v>17</v>
      </c>
      <c r="C8" s="307" t="s">
        <v>21</v>
      </c>
      <c r="D8" s="307" t="s">
        <v>22</v>
      </c>
      <c r="E8" s="307" t="s">
        <v>6</v>
      </c>
      <c r="F8" s="308">
        <v>50</v>
      </c>
    </row>
    <row r="9" spans="2:6">
      <c r="B9" s="306" t="s">
        <v>17</v>
      </c>
      <c r="C9" s="307" t="s">
        <v>51</v>
      </c>
      <c r="D9" s="307" t="s">
        <v>460</v>
      </c>
      <c r="E9" s="307" t="s">
        <v>6</v>
      </c>
      <c r="F9" s="308">
        <v>15</v>
      </c>
    </row>
    <row r="10" spans="2:6">
      <c r="B10" s="306" t="s">
        <v>17</v>
      </c>
      <c r="C10" s="307" t="s">
        <v>11</v>
      </c>
      <c r="D10" s="307" t="s">
        <v>466</v>
      </c>
      <c r="E10" s="307" t="s">
        <v>6</v>
      </c>
      <c r="F10" s="308">
        <v>195</v>
      </c>
    </row>
    <row r="11" spans="2:6">
      <c r="B11" s="306" t="s">
        <v>17</v>
      </c>
      <c r="C11" s="307" t="s">
        <v>19</v>
      </c>
      <c r="D11" s="307" t="s">
        <v>20</v>
      </c>
      <c r="E11" s="307" t="s">
        <v>6</v>
      </c>
      <c r="F11" s="308">
        <v>112</v>
      </c>
    </row>
    <row r="12" spans="2:6">
      <c r="B12" s="306" t="s">
        <v>17</v>
      </c>
      <c r="C12" s="307" t="s">
        <v>59</v>
      </c>
      <c r="D12" s="307" t="s">
        <v>104</v>
      </c>
      <c r="E12" s="307" t="s">
        <v>6</v>
      </c>
      <c r="F12" s="308">
        <v>54</v>
      </c>
    </row>
    <row r="13" spans="2:6">
      <c r="B13" s="306" t="s">
        <v>17</v>
      </c>
      <c r="C13" s="307" t="s">
        <v>251</v>
      </c>
      <c r="D13" s="307" t="s">
        <v>252</v>
      </c>
      <c r="E13" s="307" t="s">
        <v>6</v>
      </c>
      <c r="F13" s="308">
        <v>31</v>
      </c>
    </row>
    <row r="14" spans="2:6" ht="17" thickBot="1">
      <c r="B14" s="306" t="s">
        <v>17</v>
      </c>
      <c r="C14" s="307" t="s">
        <v>253</v>
      </c>
      <c r="D14" s="307" t="s">
        <v>254</v>
      </c>
      <c r="E14" s="307" t="s">
        <v>6</v>
      </c>
      <c r="F14" s="308">
        <v>287</v>
      </c>
    </row>
    <row r="15" spans="2:6">
      <c r="B15" s="309" t="s">
        <v>27</v>
      </c>
      <c r="C15" s="310" t="s">
        <v>28</v>
      </c>
      <c r="D15" s="310" t="s">
        <v>29</v>
      </c>
      <c r="E15" s="310" t="s">
        <v>18</v>
      </c>
      <c r="F15" s="311">
        <v>500</v>
      </c>
    </row>
    <row r="16" spans="2:6">
      <c r="B16" s="312" t="s">
        <v>27</v>
      </c>
      <c r="C16" s="313" t="s">
        <v>36</v>
      </c>
      <c r="D16" s="313" t="s">
        <v>37</v>
      </c>
      <c r="E16" s="313" t="s">
        <v>18</v>
      </c>
      <c r="F16" s="314">
        <v>30</v>
      </c>
    </row>
    <row r="17" spans="2:12" ht="17" thickBot="1">
      <c r="B17" s="312" t="s">
        <v>27</v>
      </c>
      <c r="C17" s="313" t="s">
        <v>61</v>
      </c>
      <c r="D17" s="313" t="s">
        <v>62</v>
      </c>
      <c r="E17" s="313" t="s">
        <v>6</v>
      </c>
      <c r="F17" s="314">
        <v>64</v>
      </c>
    </row>
    <row r="18" spans="2:12">
      <c r="B18" s="312" t="s">
        <v>27</v>
      </c>
      <c r="C18" s="313" t="s">
        <v>32</v>
      </c>
      <c r="D18" s="313" t="s">
        <v>33</v>
      </c>
      <c r="E18" s="313" t="s">
        <v>6</v>
      </c>
      <c r="F18" s="314">
        <v>75</v>
      </c>
      <c r="H18" s="343" t="s">
        <v>472</v>
      </c>
      <c r="I18" s="344"/>
      <c r="K18" s="345" t="s">
        <v>475</v>
      </c>
      <c r="L18" s="346"/>
    </row>
    <row r="19" spans="2:12">
      <c r="B19" s="312" t="s">
        <v>27</v>
      </c>
      <c r="C19" s="313" t="s">
        <v>9</v>
      </c>
      <c r="D19" s="313" t="s">
        <v>105</v>
      </c>
      <c r="E19" s="313" t="s">
        <v>6</v>
      </c>
      <c r="F19" s="314">
        <v>165</v>
      </c>
      <c r="H19" s="295" t="s">
        <v>2</v>
      </c>
      <c r="I19" s="296" t="s">
        <v>4</v>
      </c>
      <c r="K19" s="291">
        <v>-72</v>
      </c>
      <c r="L19" s="292" t="s">
        <v>473</v>
      </c>
    </row>
    <row r="20" spans="2:12" ht="17" thickBot="1">
      <c r="B20" s="312" t="s">
        <v>27</v>
      </c>
      <c r="C20" s="313" t="s">
        <v>63</v>
      </c>
      <c r="D20" s="313" t="s">
        <v>64</v>
      </c>
      <c r="E20" s="313" t="s">
        <v>6</v>
      </c>
      <c r="F20" s="314">
        <v>36</v>
      </c>
      <c r="H20" s="297" t="s">
        <v>482</v>
      </c>
      <c r="I20" s="298">
        <v>318.33</v>
      </c>
      <c r="K20" s="294">
        <f>K19+I21</f>
        <v>246.32999999999998</v>
      </c>
      <c r="L20" s="293" t="s">
        <v>474</v>
      </c>
    </row>
    <row r="21" spans="2:12" ht="17" thickBot="1">
      <c r="B21" s="312" t="s">
        <v>27</v>
      </c>
      <c r="C21" s="313" t="s">
        <v>81</v>
      </c>
      <c r="D21" s="313" t="s">
        <v>82</v>
      </c>
      <c r="E21" s="313" t="s">
        <v>6</v>
      </c>
      <c r="F21" s="314">
        <v>100</v>
      </c>
      <c r="H21" s="301" t="s">
        <v>76</v>
      </c>
      <c r="I21" s="302">
        <f>SUM(I20:I20)</f>
        <v>318.33</v>
      </c>
    </row>
    <row r="22" spans="2:12" ht="17" thickBot="1">
      <c r="B22" s="312" t="s">
        <v>27</v>
      </c>
      <c r="C22" s="313" t="s">
        <v>228</v>
      </c>
      <c r="D22" s="313" t="s">
        <v>470</v>
      </c>
      <c r="E22" s="313" t="s">
        <v>6</v>
      </c>
      <c r="F22" s="314">
        <v>125</v>
      </c>
    </row>
    <row r="23" spans="2:12" ht="17" thickBot="1">
      <c r="B23" s="315" t="s">
        <v>40</v>
      </c>
      <c r="C23" s="316" t="s">
        <v>440</v>
      </c>
      <c r="D23" s="316" t="s">
        <v>477</v>
      </c>
      <c r="E23" s="316" t="s">
        <v>18</v>
      </c>
      <c r="F23" s="317">
        <v>0</v>
      </c>
    </row>
  </sheetData>
  <mergeCells count="2">
    <mergeCell ref="H18:I18"/>
    <mergeCell ref="K18:L1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F0C1-BD54-A947-AEC9-4DF77AA35EDA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279">
        <v>2622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31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76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75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22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25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100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22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112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25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570</v>
      </c>
    </row>
    <row r="18" spans="2: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25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0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60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205</v>
      </c>
    </row>
    <row r="22" spans="2:6">
      <c r="B22" s="102" t="s">
        <v>27</v>
      </c>
      <c r="C22" s="103" t="s">
        <v>6</v>
      </c>
      <c r="D22" s="103" t="s">
        <v>228</v>
      </c>
      <c r="E22" s="103" t="s">
        <v>470</v>
      </c>
      <c r="F22" s="104">
        <v>40</v>
      </c>
    </row>
    <row r="23" spans="2:6" ht="17" thickBot="1">
      <c r="B23" s="102" t="s">
        <v>27</v>
      </c>
      <c r="C23" s="103" t="s">
        <v>6</v>
      </c>
      <c r="D23" s="103" t="s">
        <v>246</v>
      </c>
      <c r="E23" s="103" t="s">
        <v>462</v>
      </c>
      <c r="F23" s="104">
        <v>40</v>
      </c>
    </row>
    <row r="24" spans="2:6">
      <c r="B24" s="119" t="s">
        <v>40</v>
      </c>
      <c r="C24" s="120" t="s">
        <v>18</v>
      </c>
      <c r="D24" s="120" t="s">
        <v>257</v>
      </c>
      <c r="E24" s="120" t="s">
        <v>258</v>
      </c>
      <c r="F24" s="121">
        <v>33</v>
      </c>
    </row>
    <row r="25" spans="2:6">
      <c r="B25" s="122" t="s">
        <v>40</v>
      </c>
      <c r="C25" s="118" t="s">
        <v>18</v>
      </c>
      <c r="D25" s="118" t="s">
        <v>440</v>
      </c>
      <c r="E25" s="118" t="s">
        <v>477</v>
      </c>
      <c r="F25" s="123">
        <v>0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300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212A-1494-3E4A-B310-5554594C91D2}">
  <dimension ref="B3:H22"/>
  <sheetViews>
    <sheetView showGridLines="0" workbookViewId="0">
      <selection activeCell="H22" sqref="H2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9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523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464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120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151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370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25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60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92">
        <v>10</v>
      </c>
    </row>
    <row r="15" spans="2:6">
      <c r="B15" s="102" t="s">
        <v>27</v>
      </c>
      <c r="C15" s="103" t="s">
        <v>18</v>
      </c>
      <c r="D15" s="103" t="s">
        <v>28</v>
      </c>
      <c r="E15" s="103" t="s">
        <v>29</v>
      </c>
      <c r="F15" s="104">
        <v>0</v>
      </c>
    </row>
    <row r="16" spans="2:6">
      <c r="B16" s="102" t="s">
        <v>27</v>
      </c>
      <c r="C16" s="103" t="s">
        <v>18</v>
      </c>
      <c r="D16" s="103" t="s">
        <v>32</v>
      </c>
      <c r="E16" s="103" t="s">
        <v>33</v>
      </c>
      <c r="F16" s="104">
        <v>198</v>
      </c>
    </row>
    <row r="17" spans="2:8">
      <c r="B17" s="102" t="s">
        <v>27</v>
      </c>
      <c r="C17" s="103" t="s">
        <v>6</v>
      </c>
      <c r="D17" s="103" t="s">
        <v>34</v>
      </c>
      <c r="E17" s="103" t="s">
        <v>35</v>
      </c>
      <c r="F17" s="104">
        <v>75</v>
      </c>
    </row>
    <row r="18" spans="2:8">
      <c r="B18" s="102" t="s">
        <v>27</v>
      </c>
      <c r="C18" s="103" t="s">
        <v>6</v>
      </c>
      <c r="D18" s="103" t="s">
        <v>36</v>
      </c>
      <c r="E18" s="103" t="s">
        <v>37</v>
      </c>
      <c r="F18" s="104">
        <v>108</v>
      </c>
    </row>
    <row r="19" spans="2:8">
      <c r="B19" s="102" t="s">
        <v>27</v>
      </c>
      <c r="C19" s="103" t="s">
        <v>6</v>
      </c>
      <c r="D19" s="103" t="s">
        <v>63</v>
      </c>
      <c r="E19" s="103" t="s">
        <v>64</v>
      </c>
      <c r="F19" s="104">
        <v>15</v>
      </c>
      <c r="H19">
        <f>444/3</f>
        <v>148</v>
      </c>
    </row>
    <row r="20" spans="2:8" ht="17" thickBot="1">
      <c r="B20" s="102" t="s">
        <v>27</v>
      </c>
      <c r="C20" s="103" t="s">
        <v>6</v>
      </c>
      <c r="D20" s="103" t="s">
        <v>81</v>
      </c>
      <c r="E20" s="103" t="s">
        <v>82</v>
      </c>
      <c r="F20" s="104">
        <v>25</v>
      </c>
      <c r="H20">
        <f>660-H19</f>
        <v>512</v>
      </c>
    </row>
    <row r="21" spans="2:8">
      <c r="B21" s="119" t="s">
        <v>40</v>
      </c>
      <c r="C21" s="120" t="s">
        <v>18</v>
      </c>
      <c r="D21" s="120" t="s">
        <v>440</v>
      </c>
      <c r="E21" s="120" t="s">
        <v>477</v>
      </c>
      <c r="F21" s="121">
        <v>0</v>
      </c>
      <c r="H21">
        <f>440-H19</f>
        <v>292</v>
      </c>
    </row>
    <row r="22" spans="2:8" ht="17" thickBot="1">
      <c r="B22" s="124" t="s">
        <v>40</v>
      </c>
      <c r="C22" s="125" t="s">
        <v>6</v>
      </c>
      <c r="D22" s="125" t="s">
        <v>45</v>
      </c>
      <c r="E22" s="125" t="s">
        <v>46</v>
      </c>
      <c r="F22" s="126">
        <v>245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FCBC-0552-B148-977F-C53C9A1E2536}">
  <dimension ref="B3:F23"/>
  <sheetViews>
    <sheetView showGridLines="0" workbookViewId="0">
      <selection activeCell="B4" sqref="B4:F23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715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345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60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50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135</v>
      </c>
    </row>
    <row r="11" spans="2:6">
      <c r="B11" s="90" t="s">
        <v>17</v>
      </c>
      <c r="C11" s="91" t="s">
        <v>6</v>
      </c>
      <c r="D11" s="91" t="s">
        <v>25</v>
      </c>
      <c r="E11" s="91" t="s">
        <v>26</v>
      </c>
      <c r="F11" s="92">
        <v>20</v>
      </c>
    </row>
    <row r="12" spans="2:6">
      <c r="B12" s="90" t="s">
        <v>17</v>
      </c>
      <c r="C12" s="91" t="s">
        <v>6</v>
      </c>
      <c r="D12" s="91" t="s">
        <v>128</v>
      </c>
      <c r="E12" s="91" t="s">
        <v>250</v>
      </c>
      <c r="F12" s="92">
        <v>718</v>
      </c>
    </row>
    <row r="13" spans="2:6" ht="17" thickBot="1">
      <c r="B13" s="90" t="s">
        <v>17</v>
      </c>
      <c r="C13" s="91" t="s">
        <v>6</v>
      </c>
      <c r="D13" s="91" t="s">
        <v>457</v>
      </c>
      <c r="E13" s="91" t="s">
        <v>483</v>
      </c>
      <c r="F13" s="92">
        <v>1500</v>
      </c>
    </row>
    <row r="14" spans="2:6">
      <c r="B14" s="99" t="s">
        <v>27</v>
      </c>
      <c r="C14" s="100" t="s">
        <v>18</v>
      </c>
      <c r="D14" s="100" t="s">
        <v>61</v>
      </c>
      <c r="E14" s="100" t="s">
        <v>62</v>
      </c>
      <c r="F14" s="101">
        <v>25</v>
      </c>
    </row>
    <row r="15" spans="2:6">
      <c r="B15" s="102" t="s">
        <v>27</v>
      </c>
      <c r="C15" s="103" t="s">
        <v>18</v>
      </c>
      <c r="D15" s="103" t="s">
        <v>32</v>
      </c>
      <c r="E15" s="103" t="s">
        <v>33</v>
      </c>
      <c r="F15" s="104">
        <v>42</v>
      </c>
    </row>
    <row r="16" spans="2:6">
      <c r="B16" s="102" t="s">
        <v>27</v>
      </c>
      <c r="C16" s="103" t="s">
        <v>6</v>
      </c>
      <c r="D16" s="103" t="s">
        <v>9</v>
      </c>
      <c r="E16" s="103" t="s">
        <v>105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113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>
      <c r="B19" s="102" t="s">
        <v>27</v>
      </c>
      <c r="C19" s="103" t="s">
        <v>6</v>
      </c>
      <c r="D19" s="103" t="s">
        <v>81</v>
      </c>
      <c r="E19" s="103" t="s">
        <v>82</v>
      </c>
      <c r="F19" s="104">
        <v>60</v>
      </c>
    </row>
    <row r="20" spans="2:6" ht="17" thickBot="1">
      <c r="B20" s="102" t="s">
        <v>27</v>
      </c>
      <c r="C20" s="103" t="s">
        <v>6</v>
      </c>
      <c r="D20" s="103" t="s">
        <v>228</v>
      </c>
      <c r="E20" s="103" t="s">
        <v>470</v>
      </c>
      <c r="F20" s="104">
        <v>103</v>
      </c>
    </row>
    <row r="21" spans="2:6">
      <c r="B21" s="119" t="s">
        <v>40</v>
      </c>
      <c r="C21" s="120" t="s">
        <v>18</v>
      </c>
      <c r="D21" s="120" t="s">
        <v>257</v>
      </c>
      <c r="E21" s="120" t="s">
        <v>258</v>
      </c>
      <c r="F21" s="121">
        <v>40</v>
      </c>
    </row>
    <row r="22" spans="2:6">
      <c r="B22" s="122" t="s">
        <v>40</v>
      </c>
      <c r="C22" s="118" t="s">
        <v>18</v>
      </c>
      <c r="D22" s="118" t="s">
        <v>440</v>
      </c>
      <c r="E22" s="118" t="s">
        <v>477</v>
      </c>
      <c r="F22" s="123">
        <v>0</v>
      </c>
    </row>
    <row r="23" spans="2:6" ht="17" thickBot="1">
      <c r="B23" s="124" t="s">
        <v>40</v>
      </c>
      <c r="C23" s="125" t="s">
        <v>6</v>
      </c>
      <c r="D23" s="125" t="s">
        <v>45</v>
      </c>
      <c r="E23" s="125" t="s">
        <v>46</v>
      </c>
      <c r="F23" s="126">
        <v>190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B716-4843-F145-8287-8EA6CBBD0349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86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92">
        <v>196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92">
        <v>83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108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79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40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107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45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100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14</v>
      </c>
    </row>
    <row r="16" spans="2:6" ht="17" thickBot="1">
      <c r="B16" s="90" t="s">
        <v>17</v>
      </c>
      <c r="C16" s="91" t="s">
        <v>6</v>
      </c>
      <c r="D16" s="91" t="s">
        <v>457</v>
      </c>
      <c r="E16" s="91" t="s">
        <v>483</v>
      </c>
      <c r="F16" s="318">
        <v>1600.2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100</v>
      </c>
    </row>
    <row r="18" spans="2:6">
      <c r="B18" s="102" t="s">
        <v>27</v>
      </c>
      <c r="C18" s="103" t="s">
        <v>18</v>
      </c>
      <c r="D18" s="103" t="s">
        <v>7</v>
      </c>
      <c r="E18" s="103" t="s">
        <v>461</v>
      </c>
      <c r="F18" s="104">
        <v>31</v>
      </c>
    </row>
    <row r="19" spans="2:6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0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28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104">
        <v>25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70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55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160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20</v>
      </c>
    </row>
    <row r="26" spans="2:6" ht="17" thickBot="1">
      <c r="B26" s="102" t="s">
        <v>27</v>
      </c>
      <c r="C26" s="103" t="s">
        <v>6</v>
      </c>
      <c r="D26" s="103" t="s">
        <v>228</v>
      </c>
      <c r="E26" s="103" t="s">
        <v>470</v>
      </c>
      <c r="F26" s="104">
        <v>27</v>
      </c>
    </row>
    <row r="27" spans="2:6">
      <c r="B27" s="119" t="s">
        <v>40</v>
      </c>
      <c r="C27" s="120" t="s">
        <v>18</v>
      </c>
      <c r="D27" s="120" t="s">
        <v>113</v>
      </c>
      <c r="E27" s="120" t="s">
        <v>114</v>
      </c>
      <c r="F27" s="121">
        <v>0</v>
      </c>
    </row>
    <row r="28" spans="2:6">
      <c r="B28" s="122" t="s">
        <v>40</v>
      </c>
      <c r="C28" s="118" t="s">
        <v>18</v>
      </c>
      <c r="D28" s="118" t="s">
        <v>222</v>
      </c>
      <c r="E28" s="118" t="s">
        <v>44</v>
      </c>
      <c r="F28" s="123">
        <v>0</v>
      </c>
    </row>
    <row r="29" spans="2: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50</v>
      </c>
    </row>
    <row r="30" spans="2:6">
      <c r="B30" s="122" t="s">
        <v>40</v>
      </c>
      <c r="C30" s="118" t="s">
        <v>18</v>
      </c>
      <c r="D30" s="118" t="s">
        <v>440</v>
      </c>
      <c r="E30" s="118" t="s">
        <v>477</v>
      </c>
      <c r="F30" s="123">
        <v>0</v>
      </c>
    </row>
    <row r="31" spans="2:6" ht="17" thickBot="1">
      <c r="B31" s="124" t="s">
        <v>40</v>
      </c>
      <c r="C31" s="125" t="s">
        <v>6</v>
      </c>
      <c r="D31" s="125" t="s">
        <v>45</v>
      </c>
      <c r="E31" s="125" t="s">
        <v>46</v>
      </c>
      <c r="F31" s="126">
        <v>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BC0AB-F9B4-294F-8917-84BAE05E0E5D}">
  <dimension ref="B3:F26"/>
  <sheetViews>
    <sheetView showGridLines="0" workbookViewId="0">
      <selection activeCell="I25" sqref="I2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11</v>
      </c>
      <c r="E5" s="88" t="s">
        <v>466</v>
      </c>
      <c r="F5" s="89">
        <v>1754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102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134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22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135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50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292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92">
        <v>232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112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51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92">
        <v>200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26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660</v>
      </c>
    </row>
    <row r="18" spans="2:6" ht="17" thickBot="1">
      <c r="B18" s="93" t="s">
        <v>17</v>
      </c>
      <c r="C18" s="94" t="s">
        <v>6</v>
      </c>
      <c r="D18" s="94" t="s">
        <v>457</v>
      </c>
      <c r="E18" s="94" t="s">
        <v>483</v>
      </c>
      <c r="F18" s="95">
        <v>998</v>
      </c>
    </row>
    <row r="19" spans="2:6">
      <c r="B19" s="139" t="s">
        <v>27</v>
      </c>
      <c r="C19" s="140" t="s">
        <v>18</v>
      </c>
      <c r="D19" s="140" t="s">
        <v>7</v>
      </c>
      <c r="E19" s="140" t="s">
        <v>461</v>
      </c>
      <c r="F19" s="141">
        <v>429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20</v>
      </c>
    </row>
    <row r="21" spans="2:6">
      <c r="B21" s="102" t="s">
        <v>27</v>
      </c>
      <c r="C21" s="103" t="s">
        <v>6</v>
      </c>
      <c r="D21" s="103" t="s">
        <v>28</v>
      </c>
      <c r="E21" s="103" t="s">
        <v>29</v>
      </c>
      <c r="F21" s="104">
        <v>196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50</v>
      </c>
    </row>
    <row r="24" spans="2:6" ht="17" thickBot="1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105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620</v>
      </c>
    </row>
    <row r="26" spans="2:6" ht="17" thickBot="1">
      <c r="B26" s="124" t="s">
        <v>40</v>
      </c>
      <c r="C26" s="125" t="s">
        <v>18</v>
      </c>
      <c r="D26" s="125" t="s">
        <v>440</v>
      </c>
      <c r="E26" s="125" t="s">
        <v>477</v>
      </c>
      <c r="F26" s="126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FD4-27B0-D64F-9136-22F3A80A153F}">
  <dimension ref="B3:L32"/>
  <sheetViews>
    <sheetView showGridLines="0" workbookViewId="0">
      <selection activeCell="M25" sqref="M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</row>
    <row r="5" spans="2:9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50</v>
      </c>
    </row>
    <row r="6" spans="2:9">
      <c r="B6" s="90" t="s">
        <v>17</v>
      </c>
      <c r="C6" s="91" t="s">
        <v>18</v>
      </c>
      <c r="D6" s="91" t="s">
        <v>51</v>
      </c>
      <c r="E6" s="91" t="s">
        <v>460</v>
      </c>
      <c r="F6" s="92">
        <v>20</v>
      </c>
    </row>
    <row r="7" spans="2:9">
      <c r="B7" s="90" t="s">
        <v>17</v>
      </c>
      <c r="C7" s="91" t="s">
        <v>18</v>
      </c>
      <c r="D7" s="91" t="s">
        <v>57</v>
      </c>
      <c r="E7" s="91" t="s">
        <v>58</v>
      </c>
      <c r="F7" s="92">
        <v>20</v>
      </c>
    </row>
    <row r="8" spans="2:9">
      <c r="B8" s="90" t="s">
        <v>17</v>
      </c>
      <c r="C8" s="91" t="s">
        <v>18</v>
      </c>
      <c r="D8" s="91" t="s">
        <v>120</v>
      </c>
      <c r="E8" s="91" t="s">
        <v>450</v>
      </c>
      <c r="F8" s="92">
        <v>150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92">
        <v>361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17</v>
      </c>
      <c r="I10" s="319"/>
    </row>
    <row r="11" spans="2:9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742</v>
      </c>
    </row>
    <row r="12" spans="2:9">
      <c r="B12" s="90" t="s">
        <v>17</v>
      </c>
      <c r="C12" s="91" t="s">
        <v>6</v>
      </c>
      <c r="D12" s="91" t="s">
        <v>19</v>
      </c>
      <c r="E12" s="91" t="s">
        <v>20</v>
      </c>
      <c r="F12" s="92">
        <v>227</v>
      </c>
    </row>
    <row r="13" spans="2:9">
      <c r="B13" s="90" t="s">
        <v>17</v>
      </c>
      <c r="C13" s="91" t="s">
        <v>6</v>
      </c>
      <c r="D13" s="91" t="s">
        <v>25</v>
      </c>
      <c r="E13" s="91" t="s">
        <v>26</v>
      </c>
      <c r="F13" s="92">
        <v>100</v>
      </c>
    </row>
    <row r="14" spans="2:9">
      <c r="B14" s="90" t="s">
        <v>17</v>
      </c>
      <c r="C14" s="91" t="s">
        <v>6</v>
      </c>
      <c r="D14" s="91" t="s">
        <v>67</v>
      </c>
      <c r="E14" s="91" t="s">
        <v>68</v>
      </c>
      <c r="F14" s="92">
        <v>110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12</v>
      </c>
    </row>
    <row r="16" spans="2:9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17</v>
      </c>
    </row>
    <row r="17" spans="2:12" ht="17" thickBot="1">
      <c r="B17" s="90" t="s">
        <v>17</v>
      </c>
      <c r="C17" s="91" t="s">
        <v>6</v>
      </c>
      <c r="D17" s="91" t="s">
        <v>457</v>
      </c>
      <c r="E17" s="91" t="s">
        <v>483</v>
      </c>
      <c r="F17" s="92">
        <v>1999.8</v>
      </c>
    </row>
    <row r="18" spans="2:12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716</v>
      </c>
    </row>
    <row r="19" spans="2:12" ht="17" thickBot="1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12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119</v>
      </c>
      <c r="H20" s="343" t="s">
        <v>472</v>
      </c>
      <c r="I20" s="344"/>
      <c r="K20" s="345" t="s">
        <v>475</v>
      </c>
      <c r="L20" s="346"/>
    </row>
    <row r="21" spans="2:12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</v>
      </c>
      <c r="H21" s="295" t="s">
        <v>2</v>
      </c>
      <c r="I21" s="296" t="s">
        <v>4</v>
      </c>
      <c r="K21" s="291">
        <v>614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7</v>
      </c>
      <c r="E22" s="103" t="s">
        <v>461</v>
      </c>
      <c r="F22" s="104">
        <v>60</v>
      </c>
      <c r="H22" s="297" t="s">
        <v>250</v>
      </c>
      <c r="I22" s="298">
        <f>-F9</f>
        <v>-361</v>
      </c>
      <c r="K22" s="294">
        <f>K21-I27</f>
        <v>-1102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150</v>
      </c>
      <c r="H23" s="297" t="s">
        <v>481</v>
      </c>
      <c r="I23" s="298">
        <v>0</v>
      </c>
    </row>
    <row r="24" spans="2:12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13</v>
      </c>
      <c r="H24" s="297" t="s">
        <v>20</v>
      </c>
      <c r="I24" s="298">
        <f>F12</f>
        <v>227</v>
      </c>
    </row>
    <row r="25" spans="2:12">
      <c r="B25" s="102" t="s">
        <v>27</v>
      </c>
      <c r="C25" s="103" t="s">
        <v>6</v>
      </c>
      <c r="D25" s="103" t="s">
        <v>36</v>
      </c>
      <c r="E25" s="103" t="s">
        <v>37</v>
      </c>
      <c r="F25" s="104">
        <v>9</v>
      </c>
      <c r="H25" s="297" t="s">
        <v>450</v>
      </c>
      <c r="I25" s="298">
        <f>-F8</f>
        <v>-150</v>
      </c>
    </row>
    <row r="26" spans="2:12" ht="17" thickBot="1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40</v>
      </c>
      <c r="H26" s="299" t="s">
        <v>483</v>
      </c>
      <c r="I26" s="300">
        <v>2000</v>
      </c>
    </row>
    <row r="27" spans="2:12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70</v>
      </c>
      <c r="H27" s="301" t="s">
        <v>76</v>
      </c>
      <c r="I27" s="302">
        <f>SUM(I22:I26)</f>
        <v>1716</v>
      </c>
    </row>
    <row r="28" spans="2:12">
      <c r="B28" s="102" t="s">
        <v>27</v>
      </c>
      <c r="C28" s="103" t="s">
        <v>6</v>
      </c>
      <c r="D28" s="103" t="s">
        <v>246</v>
      </c>
      <c r="E28" s="103" t="s">
        <v>462</v>
      </c>
      <c r="F28" s="104">
        <v>30</v>
      </c>
    </row>
    <row r="29" spans="2:12">
      <c r="B29" s="122" t="s">
        <v>40</v>
      </c>
      <c r="C29" s="118" t="s">
        <v>18</v>
      </c>
      <c r="D29" s="118" t="s">
        <v>65</v>
      </c>
      <c r="E29" s="118" t="s">
        <v>66</v>
      </c>
      <c r="F29" s="123">
        <v>9</v>
      </c>
    </row>
    <row r="30" spans="2:12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7</v>
      </c>
    </row>
    <row r="31" spans="2:12">
      <c r="B31" s="122" t="s">
        <v>40</v>
      </c>
      <c r="C31" s="118" t="s">
        <v>18</v>
      </c>
      <c r="D31" s="118" t="s">
        <v>440</v>
      </c>
      <c r="E31" s="118" t="s">
        <v>477</v>
      </c>
      <c r="F31" s="123">
        <v>0</v>
      </c>
    </row>
    <row r="32" spans="2:12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300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638-C67A-CE44-8A20-37994277A09C}">
  <dimension ref="B3:Q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67</v>
      </c>
      <c r="E5" s="211" t="s">
        <v>68</v>
      </c>
      <c r="F5" s="279">
        <v>164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43</v>
      </c>
    </row>
    <row r="7" spans="2:6">
      <c r="B7" s="90" t="s">
        <v>17</v>
      </c>
      <c r="C7" s="91" t="s">
        <v>6</v>
      </c>
      <c r="D7" s="91" t="s">
        <v>43</v>
      </c>
      <c r="E7" s="91" t="s">
        <v>459</v>
      </c>
      <c r="F7" s="92">
        <v>84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92">
        <v>345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55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131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1273.5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296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295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92">
        <v>23</v>
      </c>
    </row>
    <row r="17" spans="2:17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116</v>
      </c>
    </row>
    <row r="18" spans="2:17">
      <c r="B18" s="90" t="s">
        <v>17</v>
      </c>
      <c r="C18" s="91" t="s">
        <v>6</v>
      </c>
      <c r="D18" s="91" t="s">
        <v>253</v>
      </c>
      <c r="E18" s="91" t="s">
        <v>254</v>
      </c>
      <c r="F18" s="92">
        <v>6</v>
      </c>
    </row>
    <row r="19" spans="2:17" ht="17" thickBot="1">
      <c r="B19" s="90" t="s">
        <v>17</v>
      </c>
      <c r="C19" s="91" t="s">
        <v>6</v>
      </c>
      <c r="D19" s="91" t="s">
        <v>457</v>
      </c>
      <c r="E19" s="91" t="s">
        <v>483</v>
      </c>
      <c r="F19" s="318">
        <v>3750.3</v>
      </c>
      <c r="Q19">
        <f>6457-3717-456</f>
        <v>2284</v>
      </c>
    </row>
    <row r="20" spans="2:17">
      <c r="B20" s="99" t="s">
        <v>27</v>
      </c>
      <c r="C20" s="100" t="s">
        <v>18</v>
      </c>
      <c r="D20" s="100" t="s">
        <v>61</v>
      </c>
      <c r="E20" s="100" t="s">
        <v>62</v>
      </c>
      <c r="F20" s="101">
        <v>581</v>
      </c>
      <c r="Q20">
        <f>Q19/3</f>
        <v>761.33333333333337</v>
      </c>
    </row>
    <row r="21" spans="2:17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469</v>
      </c>
    </row>
    <row r="22" spans="2:17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54</v>
      </c>
    </row>
    <row r="23" spans="2:17">
      <c r="B23" s="102" t="s">
        <v>27</v>
      </c>
      <c r="C23" s="103" t="s">
        <v>18</v>
      </c>
      <c r="D23" s="103" t="s">
        <v>34</v>
      </c>
      <c r="E23" s="103" t="s">
        <v>35</v>
      </c>
      <c r="F23" s="104">
        <v>516</v>
      </c>
      <c r="N23">
        <f>6457+2700</f>
        <v>9157</v>
      </c>
    </row>
    <row r="24" spans="2:17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75</v>
      </c>
    </row>
    <row r="25" spans="2:17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3116</v>
      </c>
    </row>
    <row r="26" spans="2:17">
      <c r="B26" s="102" t="s">
        <v>27</v>
      </c>
      <c r="C26" s="103" t="s">
        <v>18</v>
      </c>
      <c r="D26" s="103" t="s">
        <v>262</v>
      </c>
      <c r="E26" s="103" t="s">
        <v>263</v>
      </c>
      <c r="F26" s="104">
        <v>10</v>
      </c>
    </row>
    <row r="27" spans="2:17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232</v>
      </c>
    </row>
    <row r="28" spans="2:17">
      <c r="B28" s="102" t="s">
        <v>27</v>
      </c>
      <c r="C28" s="103" t="s">
        <v>6</v>
      </c>
      <c r="D28" s="103" t="s">
        <v>53</v>
      </c>
      <c r="E28" s="103" t="s">
        <v>123</v>
      </c>
      <c r="F28" s="104">
        <v>75</v>
      </c>
    </row>
    <row r="29" spans="2:17">
      <c r="B29" s="102" t="s">
        <v>27</v>
      </c>
      <c r="C29" s="103" t="s">
        <v>6</v>
      </c>
      <c r="D29" s="103" t="s">
        <v>36</v>
      </c>
      <c r="E29" s="103" t="s">
        <v>37</v>
      </c>
      <c r="F29" s="104">
        <v>137</v>
      </c>
    </row>
    <row r="30" spans="2:17">
      <c r="B30" s="102" t="s">
        <v>27</v>
      </c>
      <c r="C30" s="103" t="s">
        <v>6</v>
      </c>
      <c r="D30" s="103" t="s">
        <v>63</v>
      </c>
      <c r="E30" s="103" t="s">
        <v>64</v>
      </c>
      <c r="F30" s="104">
        <v>68</v>
      </c>
    </row>
    <row r="31" spans="2:17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400</v>
      </c>
    </row>
    <row r="32" spans="2:17" ht="17" thickBot="1">
      <c r="B32" s="102" t="s">
        <v>27</v>
      </c>
      <c r="C32" s="103" t="s">
        <v>6</v>
      </c>
      <c r="D32" s="103" t="s">
        <v>228</v>
      </c>
      <c r="E32" s="103" t="s">
        <v>470</v>
      </c>
      <c r="F32" s="104">
        <v>192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284</v>
      </c>
    </row>
    <row r="34" spans="2:6">
      <c r="B34" s="122" t="s">
        <v>40</v>
      </c>
      <c r="C34" s="118" t="s">
        <v>18</v>
      </c>
      <c r="D34" s="118" t="s">
        <v>257</v>
      </c>
      <c r="E34" s="118" t="s">
        <v>258</v>
      </c>
      <c r="F34" s="123">
        <v>65</v>
      </c>
    </row>
    <row r="35" spans="2:6">
      <c r="B35" s="122" t="s">
        <v>40</v>
      </c>
      <c r="C35" s="118" t="s">
        <v>18</v>
      </c>
      <c r="D35" s="118" t="s">
        <v>440</v>
      </c>
      <c r="E35" s="118" t="s">
        <v>477</v>
      </c>
      <c r="F35" s="123">
        <v>0</v>
      </c>
    </row>
    <row r="36" spans="2:6">
      <c r="B36" s="122" t="s">
        <v>40</v>
      </c>
      <c r="C36" s="118" t="s">
        <v>18</v>
      </c>
      <c r="D36" s="118" t="s">
        <v>484</v>
      </c>
      <c r="E36" s="118" t="s">
        <v>486</v>
      </c>
      <c r="F36" s="123">
        <v>165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123">
        <v>38</v>
      </c>
    </row>
    <row r="38" spans="2:6" ht="17" thickBot="1">
      <c r="B38" s="124" t="s">
        <v>40</v>
      </c>
      <c r="C38" s="125" t="s">
        <v>6</v>
      </c>
      <c r="D38" s="125" t="s">
        <v>65</v>
      </c>
      <c r="E38" s="125" t="s">
        <v>66</v>
      </c>
      <c r="F38" s="126">
        <v>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DCEC-AFB7-9E47-A0C6-8E5A48C91CAB}">
  <dimension ref="B3:T46"/>
  <sheetViews>
    <sheetView showGridLines="0" topLeftCell="A2" zoomScale="85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0" ht="17" thickBot="1"/>
    <row r="4" spans="2:20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T4">
        <f>21+15+6</f>
        <v>42</v>
      </c>
    </row>
    <row r="5" spans="2:20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90</v>
      </c>
    </row>
    <row r="6" spans="2:20">
      <c r="B6" s="90" t="s">
        <v>17</v>
      </c>
      <c r="C6" s="91" t="s">
        <v>18</v>
      </c>
      <c r="D6" s="91" t="s">
        <v>21</v>
      </c>
      <c r="E6" s="91" t="s">
        <v>22</v>
      </c>
      <c r="F6" s="92">
        <v>66</v>
      </c>
    </row>
    <row r="7" spans="2:20">
      <c r="B7" s="90" t="s">
        <v>17</v>
      </c>
      <c r="C7" s="91" t="s">
        <v>18</v>
      </c>
      <c r="D7" s="91" t="s">
        <v>23</v>
      </c>
      <c r="E7" s="91" t="s">
        <v>24</v>
      </c>
      <c r="F7" s="92">
        <v>22</v>
      </c>
    </row>
    <row r="8" spans="2:20">
      <c r="B8" s="90" t="s">
        <v>17</v>
      </c>
      <c r="C8" s="91" t="s">
        <v>18</v>
      </c>
      <c r="D8" s="91" t="s">
        <v>11</v>
      </c>
      <c r="E8" s="91" t="s">
        <v>466</v>
      </c>
      <c r="F8" s="92">
        <v>624</v>
      </c>
    </row>
    <row r="9" spans="2:20">
      <c r="B9" s="90" t="s">
        <v>17</v>
      </c>
      <c r="C9" s="91" t="s">
        <v>6</v>
      </c>
      <c r="D9" s="91" t="s">
        <v>55</v>
      </c>
      <c r="E9" s="91" t="s">
        <v>56</v>
      </c>
      <c r="F9" s="92">
        <v>25</v>
      </c>
    </row>
    <row r="10" spans="2:20">
      <c r="B10" s="90" t="s">
        <v>17</v>
      </c>
      <c r="C10" s="91" t="s">
        <v>6</v>
      </c>
      <c r="D10" s="91" t="s">
        <v>51</v>
      </c>
      <c r="E10" s="91" t="s">
        <v>460</v>
      </c>
      <c r="F10" s="92">
        <v>111</v>
      </c>
    </row>
    <row r="11" spans="2:20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265</v>
      </c>
    </row>
    <row r="12" spans="2:20">
      <c r="B12" s="90" t="s">
        <v>17</v>
      </c>
      <c r="C12" s="91" t="s">
        <v>6</v>
      </c>
      <c r="D12" s="91" t="s">
        <v>71</v>
      </c>
      <c r="E12" s="91" t="s">
        <v>463</v>
      </c>
      <c r="F12" s="92">
        <v>75</v>
      </c>
    </row>
    <row r="13" spans="2:20">
      <c r="B13" s="90" t="s">
        <v>17</v>
      </c>
      <c r="C13" s="91" t="s">
        <v>6</v>
      </c>
      <c r="D13" s="91" t="s">
        <v>38</v>
      </c>
      <c r="E13" s="91" t="s">
        <v>469</v>
      </c>
      <c r="F13" s="92">
        <v>70</v>
      </c>
    </row>
    <row r="14" spans="2:20">
      <c r="B14" s="90" t="s">
        <v>17</v>
      </c>
      <c r="C14" s="91" t="s">
        <v>6</v>
      </c>
      <c r="D14" s="91" t="s">
        <v>19</v>
      </c>
      <c r="E14" s="91" t="s">
        <v>20</v>
      </c>
      <c r="F14" s="92">
        <v>545</v>
      </c>
    </row>
    <row r="15" spans="2:20">
      <c r="B15" s="90" t="s">
        <v>17</v>
      </c>
      <c r="C15" s="91" t="s">
        <v>6</v>
      </c>
      <c r="D15" s="91" t="s">
        <v>25</v>
      </c>
      <c r="E15" s="91" t="s">
        <v>26</v>
      </c>
      <c r="F15" s="92">
        <v>50</v>
      </c>
    </row>
    <row r="16" spans="2:20">
      <c r="B16" s="90" t="s">
        <v>17</v>
      </c>
      <c r="C16" s="91" t="s">
        <v>6</v>
      </c>
      <c r="D16" s="91" t="s">
        <v>67</v>
      </c>
      <c r="E16" s="91" t="s">
        <v>68</v>
      </c>
      <c r="F16" s="92">
        <v>348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92">
        <v>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212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317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50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85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92">
        <v>199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600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3250.8</v>
      </c>
    </row>
    <row r="25" spans="2:6" ht="17" thickBot="1">
      <c r="B25" s="90" t="s">
        <v>17</v>
      </c>
      <c r="C25" s="91" t="s">
        <v>6</v>
      </c>
      <c r="D25" s="91" t="s">
        <v>498</v>
      </c>
      <c r="E25" s="91" t="s">
        <v>499</v>
      </c>
      <c r="F25" s="318">
        <v>1349.1</v>
      </c>
    </row>
    <row r="26" spans="2:6">
      <c r="B26" s="99" t="s">
        <v>27</v>
      </c>
      <c r="C26" s="100" t="s">
        <v>18</v>
      </c>
      <c r="D26" s="100" t="s">
        <v>61</v>
      </c>
      <c r="E26" s="100" t="s">
        <v>62</v>
      </c>
      <c r="F26" s="101">
        <v>57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575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254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104">
        <v>56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104">
        <v>256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104">
        <v>255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104">
        <v>240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100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104">
        <v>267</v>
      </c>
    </row>
    <row r="35" spans="2:6">
      <c r="B35" s="102" t="s">
        <v>27</v>
      </c>
      <c r="C35" s="103" t="s">
        <v>6</v>
      </c>
      <c r="D35" s="103" t="s">
        <v>63</v>
      </c>
      <c r="E35" s="103" t="s">
        <v>64</v>
      </c>
      <c r="F35" s="104">
        <v>118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104">
        <v>75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104">
        <v>185</v>
      </c>
    </row>
    <row r="38" spans="2:6">
      <c r="B38" s="102" t="s">
        <v>27</v>
      </c>
      <c r="C38" s="103" t="s">
        <v>6</v>
      </c>
      <c r="D38" s="103" t="s">
        <v>246</v>
      </c>
      <c r="E38" s="103" t="s">
        <v>462</v>
      </c>
      <c r="F38" s="104">
        <v>3145.5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85</v>
      </c>
    </row>
    <row r="40" spans="2:6" ht="17" thickBot="1">
      <c r="B40" s="102" t="s">
        <v>27</v>
      </c>
      <c r="C40" s="103" t="s">
        <v>6</v>
      </c>
      <c r="D40" s="103" t="s">
        <v>500</v>
      </c>
      <c r="E40" s="103" t="s">
        <v>501</v>
      </c>
      <c r="F40" s="104">
        <v>1000</v>
      </c>
    </row>
    <row r="41" spans="2:6">
      <c r="B41" s="119" t="s">
        <v>40</v>
      </c>
      <c r="C41" s="120" t="s">
        <v>18</v>
      </c>
      <c r="D41" s="120" t="s">
        <v>440</v>
      </c>
      <c r="E41" s="120" t="s">
        <v>477</v>
      </c>
      <c r="F41" s="121">
        <v>0</v>
      </c>
    </row>
    <row r="42" spans="2:6">
      <c r="B42" s="122" t="s">
        <v>40</v>
      </c>
      <c r="C42" s="118" t="s">
        <v>18</v>
      </c>
      <c r="D42" s="118" t="s">
        <v>484</v>
      </c>
      <c r="E42" s="118" t="s">
        <v>486</v>
      </c>
      <c r="F42" s="123">
        <v>575</v>
      </c>
    </row>
    <row r="43" spans="2:6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400</v>
      </c>
    </row>
    <row r="44" spans="2:6">
      <c r="B44" s="122" t="s">
        <v>40</v>
      </c>
      <c r="C44" s="118" t="s">
        <v>6</v>
      </c>
      <c r="D44" s="118" t="s">
        <v>47</v>
      </c>
      <c r="E44" s="118" t="s">
        <v>229</v>
      </c>
      <c r="F44" s="123">
        <v>41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480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B225-4EF4-634F-93FD-5F8632B728AE}">
  <dimension ref="B3:F46"/>
  <sheetViews>
    <sheetView showGridLines="0" topLeftCell="A2" zoomScale="85" workbookViewId="0">
      <selection activeCell="S44" sqref="S44"/>
    </sheetView>
  </sheetViews>
  <sheetFormatPr baseColWidth="10" defaultRowHeight="16"/>
  <cols>
    <col min="5" max="5" width="15" bestFit="1" customWidth="1"/>
    <col min="7" max="7" width="4.8320312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10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5073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218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184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46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151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92">
        <v>20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59</v>
      </c>
    </row>
    <row r="13" spans="2:6">
      <c r="B13" s="90" t="s">
        <v>17</v>
      </c>
      <c r="C13" s="91" t="s">
        <v>18</v>
      </c>
      <c r="D13" s="91" t="s">
        <v>457</v>
      </c>
      <c r="E13" s="91" t="s">
        <v>483</v>
      </c>
      <c r="F13" s="92">
        <v>7216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92">
        <v>567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92">
        <v>44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45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430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92">
        <v>500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92">
        <v>250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92">
        <v>143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20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27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30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92">
        <v>631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50</v>
      </c>
    </row>
    <row r="26" spans="2:6">
      <c r="B26" s="99" t="s">
        <v>27</v>
      </c>
      <c r="C26" s="100" t="s">
        <v>18</v>
      </c>
      <c r="D26" s="100" t="s">
        <v>28</v>
      </c>
      <c r="E26" s="100" t="s">
        <v>29</v>
      </c>
      <c r="F26" s="101">
        <v>971</v>
      </c>
    </row>
    <row r="27" spans="2:6">
      <c r="B27" s="102" t="s">
        <v>27</v>
      </c>
      <c r="C27" s="103" t="s">
        <v>18</v>
      </c>
      <c r="D27" s="103" t="s">
        <v>34</v>
      </c>
      <c r="E27" s="103" t="s">
        <v>35</v>
      </c>
      <c r="F27" s="104">
        <v>661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104">
        <v>17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104">
        <v>215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982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104">
        <v>266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104">
        <v>44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104">
        <v>90</v>
      </c>
    </row>
    <row r="34" spans="2:6">
      <c r="B34" s="102" t="s">
        <v>27</v>
      </c>
      <c r="C34" s="103" t="s">
        <v>6</v>
      </c>
      <c r="D34" s="103" t="s">
        <v>32</v>
      </c>
      <c r="E34" s="103" t="s">
        <v>33</v>
      </c>
      <c r="F34" s="104">
        <v>396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104">
        <v>100</v>
      </c>
    </row>
    <row r="36" spans="2:6">
      <c r="B36" s="102" t="s">
        <v>27</v>
      </c>
      <c r="C36" s="103" t="s">
        <v>6</v>
      </c>
      <c r="D36" s="103" t="s">
        <v>36</v>
      </c>
      <c r="E36" s="103" t="s">
        <v>37</v>
      </c>
      <c r="F36" s="104">
        <v>35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104">
        <v>7</v>
      </c>
    </row>
    <row r="38" spans="2:6">
      <c r="B38" s="102" t="s">
        <v>27</v>
      </c>
      <c r="C38" s="103" t="s">
        <v>6</v>
      </c>
      <c r="D38" s="103" t="s">
        <v>81</v>
      </c>
      <c r="E38" s="103" t="s">
        <v>82</v>
      </c>
      <c r="F38" s="104">
        <v>300</v>
      </c>
    </row>
    <row r="39" spans="2:6" ht="17" thickBot="1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94</v>
      </c>
    </row>
    <row r="40" spans="2:6">
      <c r="B40" s="119" t="s">
        <v>40</v>
      </c>
      <c r="C40" s="120" t="s">
        <v>18</v>
      </c>
      <c r="D40" s="120" t="s">
        <v>440</v>
      </c>
      <c r="E40" s="120" t="s">
        <v>477</v>
      </c>
      <c r="F40" s="121">
        <v>0</v>
      </c>
    </row>
    <row r="41" spans="2:6">
      <c r="B41" s="122" t="s">
        <v>40</v>
      </c>
      <c r="C41" s="118" t="s">
        <v>18</v>
      </c>
      <c r="D41" s="118" t="s">
        <v>484</v>
      </c>
      <c r="E41" s="118" t="s">
        <v>486</v>
      </c>
      <c r="F41" s="123">
        <v>115</v>
      </c>
    </row>
    <row r="42" spans="2:6">
      <c r="B42" s="122" t="s">
        <v>40</v>
      </c>
      <c r="C42" s="118" t="s">
        <v>6</v>
      </c>
      <c r="D42" s="118" t="s">
        <v>45</v>
      </c>
      <c r="E42" s="118" t="s">
        <v>46</v>
      </c>
      <c r="F42" s="123">
        <v>404</v>
      </c>
    </row>
    <row r="43" spans="2:6">
      <c r="B43" s="122" t="s">
        <v>40</v>
      </c>
      <c r="C43" s="118" t="s">
        <v>6</v>
      </c>
      <c r="D43" s="118" t="s">
        <v>47</v>
      </c>
      <c r="E43" s="118" t="s">
        <v>229</v>
      </c>
      <c r="F43" s="123">
        <v>11</v>
      </c>
    </row>
    <row r="44" spans="2:6">
      <c r="B44" s="122" t="s">
        <v>40</v>
      </c>
      <c r="C44" s="118" t="s">
        <v>6</v>
      </c>
      <c r="D44" s="118" t="s">
        <v>65</v>
      </c>
      <c r="E44" s="118" t="s">
        <v>66</v>
      </c>
      <c r="F44" s="123">
        <v>64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519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4FBC-D18A-1B4F-AFF0-C1E864AADE83}">
  <dimension ref="B3:W49"/>
  <sheetViews>
    <sheetView showGridLines="0" zoomScale="83" workbookViewId="0">
      <selection activeCell="B4" sqref="B4"/>
    </sheetView>
  </sheetViews>
  <sheetFormatPr baseColWidth="10" defaultRowHeight="16"/>
  <cols>
    <col min="5" max="5" width="15" bestFit="1" customWidth="1"/>
    <col min="21" max="21" width="12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26</v>
      </c>
    </row>
    <row r="6" spans="2:23">
      <c r="B6" s="90" t="s">
        <v>17</v>
      </c>
      <c r="C6" s="91" t="s">
        <v>18</v>
      </c>
      <c r="D6" s="91" t="s">
        <v>21</v>
      </c>
      <c r="E6" s="91" t="s">
        <v>22</v>
      </c>
      <c r="F6" s="92">
        <v>427</v>
      </c>
    </row>
    <row r="7" spans="2:23">
      <c r="B7" s="90" t="s">
        <v>17</v>
      </c>
      <c r="C7" s="91" t="s">
        <v>18</v>
      </c>
      <c r="D7" s="91" t="s">
        <v>120</v>
      </c>
      <c r="E7" s="91" t="s">
        <v>450</v>
      </c>
      <c r="F7" s="92">
        <v>37</v>
      </c>
    </row>
    <row r="8" spans="2:23">
      <c r="B8" s="90" t="s">
        <v>17</v>
      </c>
      <c r="C8" s="91" t="s">
        <v>18</v>
      </c>
      <c r="D8" s="91" t="s">
        <v>11</v>
      </c>
      <c r="E8" s="91" t="s">
        <v>466</v>
      </c>
      <c r="F8" s="92">
        <v>3427</v>
      </c>
      <c r="U8" t="s">
        <v>506</v>
      </c>
      <c r="V8" t="s">
        <v>507</v>
      </c>
      <c r="W8" t="s">
        <v>508</v>
      </c>
    </row>
    <row r="9" spans="2:23">
      <c r="B9" s="90" t="s">
        <v>17</v>
      </c>
      <c r="C9" s="91" t="s">
        <v>18</v>
      </c>
      <c r="D9" s="91" t="s">
        <v>19</v>
      </c>
      <c r="E9" s="91" t="s">
        <v>20</v>
      </c>
      <c r="F9" s="92">
        <v>185</v>
      </c>
      <c r="U9">
        <v>5500</v>
      </c>
      <c r="V9">
        <v>4400</v>
      </c>
      <c r="W9">
        <f>-((V9/0.9)-U9)</f>
        <v>611.11111111111131</v>
      </c>
    </row>
    <row r="10" spans="2:23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</v>
      </c>
      <c r="U10">
        <v>2275</v>
      </c>
      <c r="V10">
        <v>2000</v>
      </c>
      <c r="W10">
        <f>-((V10/0.9)-U10)</f>
        <v>52.777777777777828</v>
      </c>
    </row>
    <row r="11" spans="2:23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393</v>
      </c>
    </row>
    <row r="12" spans="2:23">
      <c r="B12" s="90" t="s">
        <v>17</v>
      </c>
      <c r="C12" s="91" t="s">
        <v>18</v>
      </c>
      <c r="D12" s="91" t="s">
        <v>132</v>
      </c>
      <c r="E12" s="91" t="s">
        <v>464</v>
      </c>
      <c r="F12" s="92">
        <v>25</v>
      </c>
    </row>
    <row r="13" spans="2:23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2</v>
      </c>
    </row>
    <row r="14" spans="2:23">
      <c r="B14" s="90" t="s">
        <v>17</v>
      </c>
      <c r="C14" s="91" t="s">
        <v>18</v>
      </c>
      <c r="D14" s="91" t="s">
        <v>498</v>
      </c>
      <c r="E14" s="91" t="s">
        <v>499</v>
      </c>
      <c r="F14" s="92">
        <v>500</v>
      </c>
    </row>
    <row r="15" spans="2:23">
      <c r="B15" s="90" t="s">
        <v>17</v>
      </c>
      <c r="C15" s="91" t="s">
        <v>6</v>
      </c>
      <c r="D15" s="91" t="s">
        <v>51</v>
      </c>
      <c r="E15" s="91" t="s">
        <v>460</v>
      </c>
      <c r="F15" s="92">
        <v>75</v>
      </c>
    </row>
    <row r="16" spans="2:23">
      <c r="B16" s="90" t="s">
        <v>17</v>
      </c>
      <c r="C16" s="91" t="s">
        <v>6</v>
      </c>
      <c r="D16" s="91" t="s">
        <v>23</v>
      </c>
      <c r="E16" s="91" t="s">
        <v>24</v>
      </c>
      <c r="F16" s="92">
        <v>43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92">
        <v>50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92">
        <v>89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92">
        <v>133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92">
        <v>31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99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4250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158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101">
        <v>274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131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104">
        <v>569</v>
      </c>
    </row>
    <row r="29" spans="2:6">
      <c r="B29" s="102" t="s">
        <v>27</v>
      </c>
      <c r="C29" s="103" t="s">
        <v>6</v>
      </c>
      <c r="D29" s="103" t="s">
        <v>61</v>
      </c>
      <c r="E29" s="103" t="s">
        <v>62</v>
      </c>
      <c r="F29" s="104">
        <v>37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104">
        <v>290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104">
        <v>242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265</v>
      </c>
    </row>
    <row r="33" spans="2:18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29</v>
      </c>
    </row>
    <row r="34" spans="2:18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69</v>
      </c>
    </row>
    <row r="35" spans="2:18">
      <c r="B35" s="102" t="s">
        <v>27</v>
      </c>
      <c r="C35" s="103" t="s">
        <v>6</v>
      </c>
      <c r="D35" s="103" t="s">
        <v>228</v>
      </c>
      <c r="E35" s="103" t="s">
        <v>470</v>
      </c>
      <c r="F35" s="104">
        <v>115</v>
      </c>
    </row>
    <row r="36" spans="2:18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100</v>
      </c>
    </row>
    <row r="37" spans="2:18" ht="17" thickBot="1">
      <c r="B37" s="102" t="s">
        <v>27</v>
      </c>
      <c r="C37" s="103" t="s">
        <v>6</v>
      </c>
      <c r="D37" s="103" t="s">
        <v>500</v>
      </c>
      <c r="E37" s="103" t="s">
        <v>501</v>
      </c>
      <c r="F37" s="104">
        <v>746</v>
      </c>
    </row>
    <row r="38" spans="2:18">
      <c r="B38" s="119" t="s">
        <v>40</v>
      </c>
      <c r="C38" s="120" t="s">
        <v>18</v>
      </c>
      <c r="D38" s="120" t="s">
        <v>45</v>
      </c>
      <c r="E38" s="120" t="s">
        <v>46</v>
      </c>
      <c r="F38" s="121">
        <v>410</v>
      </c>
    </row>
    <row r="39" spans="2:18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50</v>
      </c>
    </row>
    <row r="40" spans="2:18">
      <c r="B40" s="122" t="s">
        <v>40</v>
      </c>
      <c r="C40" s="118" t="s">
        <v>18</v>
      </c>
      <c r="D40" s="118" t="s">
        <v>440</v>
      </c>
      <c r="E40" s="118" t="s">
        <v>477</v>
      </c>
      <c r="F40" s="123">
        <v>0</v>
      </c>
      <c r="G40">
        <f>F38-150</f>
        <v>260</v>
      </c>
    </row>
    <row r="41" spans="2:18">
      <c r="B41" s="122" t="s">
        <v>40</v>
      </c>
      <c r="C41" s="118" t="s">
        <v>6</v>
      </c>
      <c r="D41" s="118" t="s">
        <v>47</v>
      </c>
      <c r="E41" s="118" t="s">
        <v>229</v>
      </c>
      <c r="F41" s="123">
        <v>171</v>
      </c>
    </row>
    <row r="42" spans="2:18">
      <c r="B42" s="122" t="s">
        <v>40</v>
      </c>
      <c r="C42" s="118" t="s">
        <v>6</v>
      </c>
      <c r="D42" s="118" t="s">
        <v>257</v>
      </c>
      <c r="E42" s="118" t="s">
        <v>258</v>
      </c>
      <c r="F42" s="123">
        <v>1</v>
      </c>
      <c r="N42">
        <f>-215-630-375</f>
        <v>-1220</v>
      </c>
    </row>
    <row r="43" spans="2:18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126">
        <v>2000</v>
      </c>
      <c r="N43">
        <f>N42-380</f>
        <v>-1600</v>
      </c>
    </row>
    <row r="44" spans="2:18">
      <c r="N44">
        <f>N43+136-150</f>
        <v>-1614</v>
      </c>
    </row>
    <row r="47" spans="2:18">
      <c r="O47">
        <f>136*4</f>
        <v>544</v>
      </c>
      <c r="R47">
        <f>400/3</f>
        <v>133.33333333333334</v>
      </c>
    </row>
    <row r="48" spans="2:18">
      <c r="O48">
        <f>600-O47</f>
        <v>56</v>
      </c>
      <c r="R48">
        <f>R47+O49</f>
        <v>152</v>
      </c>
    </row>
    <row r="49" spans="15:15">
      <c r="O49">
        <f>O48/3</f>
        <v>18.666666666666668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CB60-2EB3-464C-8421-A1BC50374C86}">
  <dimension ref="B3:G46"/>
  <sheetViews>
    <sheetView showGridLines="0" topLeftCell="A5" zoomScale="87" workbookViewId="0">
      <selection activeCell="N34" sqref="N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92">
        <v>326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75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65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38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163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242</v>
      </c>
    </row>
    <row r="12" spans="2:6">
      <c r="B12" s="90" t="s">
        <v>17</v>
      </c>
      <c r="C12" s="91" t="s">
        <v>18</v>
      </c>
      <c r="D12" s="91" t="s">
        <v>226</v>
      </c>
      <c r="E12" s="91" t="s">
        <v>467</v>
      </c>
      <c r="F12" s="92">
        <v>100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839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92">
        <v>1134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20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248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949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30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54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6</v>
      </c>
    </row>
    <row r="22" spans="2:6">
      <c r="B22" s="90" t="s">
        <v>17</v>
      </c>
      <c r="C22" s="91" t="s">
        <v>6</v>
      </c>
      <c r="D22" s="91" t="s">
        <v>457</v>
      </c>
      <c r="E22" s="91" t="s">
        <v>483</v>
      </c>
      <c r="F22" s="92">
        <v>3403.8</v>
      </c>
    </row>
    <row r="23" spans="2:6" ht="17" thickBot="1">
      <c r="B23" s="90" t="s">
        <v>17</v>
      </c>
      <c r="C23" s="91" t="s">
        <v>6</v>
      </c>
      <c r="D23" s="91" t="s">
        <v>498</v>
      </c>
      <c r="E23" s="91" t="s">
        <v>499</v>
      </c>
      <c r="F23" s="92">
        <v>2700</v>
      </c>
    </row>
    <row r="24" spans="2:6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275</v>
      </c>
    </row>
    <row r="25" spans="2:6">
      <c r="B25" s="102" t="s">
        <v>27</v>
      </c>
      <c r="C25" s="103" t="s">
        <v>18</v>
      </c>
      <c r="D25" s="103" t="s">
        <v>28</v>
      </c>
      <c r="E25" s="103" t="s">
        <v>29</v>
      </c>
      <c r="F25" s="104">
        <v>375</v>
      </c>
    </row>
    <row r="26" spans="2:6">
      <c r="B26" s="102" t="s">
        <v>27</v>
      </c>
      <c r="C26" s="103" t="s">
        <v>18</v>
      </c>
      <c r="D26" s="103" t="s">
        <v>34</v>
      </c>
      <c r="E26" s="103" t="s">
        <v>35</v>
      </c>
      <c r="F26" s="104">
        <v>552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251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104">
        <v>12</v>
      </c>
    </row>
    <row r="29" spans="2:6">
      <c r="B29" s="102" t="s">
        <v>27</v>
      </c>
      <c r="C29" s="103" t="s">
        <v>18</v>
      </c>
      <c r="D29" s="103" t="s">
        <v>500</v>
      </c>
      <c r="E29" s="103" t="s">
        <v>501</v>
      </c>
      <c r="F29" s="104">
        <v>636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2014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104">
        <v>155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104">
        <v>18</v>
      </c>
    </row>
    <row r="33" spans="2:7">
      <c r="B33" s="102" t="s">
        <v>27</v>
      </c>
      <c r="C33" s="103" t="s">
        <v>6</v>
      </c>
      <c r="D33" s="103" t="s">
        <v>32</v>
      </c>
      <c r="E33" s="103" t="s">
        <v>33</v>
      </c>
      <c r="F33" s="104">
        <v>160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26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104">
        <v>912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60</v>
      </c>
    </row>
    <row r="37" spans="2:7" ht="17" thickBot="1">
      <c r="B37" s="102" t="s">
        <v>27</v>
      </c>
      <c r="C37" s="103" t="s">
        <v>6</v>
      </c>
      <c r="D37" s="103" t="s">
        <v>512</v>
      </c>
      <c r="E37" s="103" t="s">
        <v>513</v>
      </c>
      <c r="F37" s="104">
        <v>100</v>
      </c>
    </row>
    <row r="38" spans="2:7">
      <c r="B38" s="119" t="s">
        <v>40</v>
      </c>
      <c r="C38" s="120" t="s">
        <v>18</v>
      </c>
      <c r="D38" s="120" t="s">
        <v>113</v>
      </c>
      <c r="E38" s="120" t="s">
        <v>114</v>
      </c>
      <c r="F38" s="121">
        <v>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42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49</v>
      </c>
      <c r="E40" s="118" t="s">
        <v>511</v>
      </c>
      <c r="F40" s="123">
        <v>81</v>
      </c>
      <c r="G40" s="142" t="s">
        <v>515</v>
      </c>
    </row>
    <row r="41" spans="2:7">
      <c r="B41" s="122" t="s">
        <v>40</v>
      </c>
      <c r="C41" s="118" t="s">
        <v>18</v>
      </c>
      <c r="D41" s="118" t="s">
        <v>257</v>
      </c>
      <c r="E41" s="118" t="s">
        <v>258</v>
      </c>
      <c r="F41" s="123">
        <v>57</v>
      </c>
      <c r="G41" s="142" t="s">
        <v>515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123">
        <v>0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449</v>
      </c>
      <c r="G43">
        <f>F43</f>
        <v>449</v>
      </c>
    </row>
    <row r="44" spans="2:7">
      <c r="B44" s="122" t="s">
        <v>40</v>
      </c>
      <c r="C44" s="118" t="s">
        <v>6</v>
      </c>
      <c r="D44" s="118" t="s">
        <v>69</v>
      </c>
      <c r="E44" s="118" t="s">
        <v>509</v>
      </c>
      <c r="F44" s="123">
        <v>313</v>
      </c>
      <c r="G44" s="142" t="s">
        <v>514</v>
      </c>
    </row>
    <row r="45" spans="2:7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737</v>
      </c>
      <c r="G45">
        <f>63+F45</f>
        <v>800</v>
      </c>
    </row>
    <row r="46" spans="2:7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126">
        <v>4496.3999999999996</v>
      </c>
      <c r="G46" t="s">
        <v>516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EE0C-0D88-7844-B50F-CDE17A53DA83}">
  <dimension ref="B3:U43"/>
  <sheetViews>
    <sheetView showGridLines="0" zoomScale="90" workbookViewId="0">
      <selection activeCell="B4" sqref="B4:F43"/>
    </sheetView>
  </sheetViews>
  <sheetFormatPr baseColWidth="10" defaultRowHeight="16"/>
  <cols>
    <col min="5" max="5" width="15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48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94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82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355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350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216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18">
        <v>283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65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475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480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73</v>
      </c>
    </row>
    <row r="17" spans="2:2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30</v>
      </c>
    </row>
    <row r="18" spans="2:2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201</v>
      </c>
    </row>
    <row r="19" spans="2:2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479</v>
      </c>
    </row>
    <row r="20" spans="2:21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46</v>
      </c>
    </row>
    <row r="21" spans="2:2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</v>
      </c>
    </row>
    <row r="22" spans="2:2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503</v>
      </c>
    </row>
    <row r="23" spans="2:21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4400.1000000000004</v>
      </c>
    </row>
    <row r="24" spans="2:21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143</v>
      </c>
    </row>
    <row r="25" spans="2:21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  <c r="U25">
        <f>24*25</f>
        <v>600</v>
      </c>
    </row>
    <row r="26" spans="2:21">
      <c r="B26" s="102" t="s">
        <v>27</v>
      </c>
      <c r="C26" s="103" t="s">
        <v>18</v>
      </c>
      <c r="D26" s="103" t="s">
        <v>500</v>
      </c>
      <c r="E26" s="103" t="s">
        <v>501</v>
      </c>
      <c r="F26" s="335">
        <v>749</v>
      </c>
      <c r="U26">
        <f>9*22</f>
        <v>198</v>
      </c>
    </row>
    <row r="27" spans="2:21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83</v>
      </c>
      <c r="U27">
        <f>1025/3</f>
        <v>341.66666666666669</v>
      </c>
    </row>
    <row r="28" spans="2:21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104</v>
      </c>
    </row>
    <row r="29" spans="2:21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108</v>
      </c>
    </row>
    <row r="30" spans="2:2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166</v>
      </c>
    </row>
    <row r="31" spans="2:2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333</v>
      </c>
    </row>
    <row r="32" spans="2:2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370</v>
      </c>
    </row>
    <row r="33" spans="2:7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200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128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337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124</v>
      </c>
    </row>
    <row r="37" spans="2:7" ht="17" thickBot="1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1845</v>
      </c>
    </row>
    <row r="38" spans="2:7">
      <c r="B38" s="119" t="s">
        <v>40</v>
      </c>
      <c r="C38" s="120" t="s">
        <v>18</v>
      </c>
      <c r="D38" s="120" t="s">
        <v>440</v>
      </c>
      <c r="E38" s="120" t="s">
        <v>477</v>
      </c>
      <c r="F38" s="336">
        <v>0</v>
      </c>
      <c r="G38" s="142" t="s">
        <v>516</v>
      </c>
    </row>
    <row r="39" spans="2:7">
      <c r="B39" s="122" t="s">
        <v>40</v>
      </c>
      <c r="C39" s="118" t="s">
        <v>6</v>
      </c>
      <c r="D39" s="118" t="s">
        <v>45</v>
      </c>
      <c r="E39" s="118" t="s">
        <v>46</v>
      </c>
      <c r="F39" s="337">
        <v>314</v>
      </c>
      <c r="G39" s="142" t="s">
        <v>453</v>
      </c>
    </row>
    <row r="40" spans="2:7">
      <c r="B40" s="122" t="s">
        <v>40</v>
      </c>
      <c r="C40" s="118" t="s">
        <v>6</v>
      </c>
      <c r="D40" s="118" t="s">
        <v>69</v>
      </c>
      <c r="E40" s="118" t="s">
        <v>509</v>
      </c>
      <c r="F40" s="337">
        <v>10</v>
      </c>
      <c r="G40" s="142" t="s">
        <v>514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511</v>
      </c>
      <c r="F41" s="337">
        <v>477</v>
      </c>
      <c r="G41" s="142" t="s">
        <v>514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3</v>
      </c>
      <c r="G42" s="142" t="s">
        <v>514</v>
      </c>
    </row>
    <row r="43" spans="2:7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338">
        <v>4266</v>
      </c>
      <c r="G43" s="142" t="s">
        <v>514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ED11-097A-994E-8918-9FFBD17B480C}">
  <dimension ref="B3:G45"/>
  <sheetViews>
    <sheetView showGridLines="0" zoomScale="87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55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318">
        <v>1739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18">
        <v>7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18">
        <v>59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318">
        <v>421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25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115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335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109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35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93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78</v>
      </c>
    </row>
    <row r="20" spans="2:6">
      <c r="B20" s="90" t="s">
        <v>17</v>
      </c>
      <c r="C20" s="91" t="s">
        <v>6</v>
      </c>
      <c r="D20" s="91" t="s">
        <v>132</v>
      </c>
      <c r="E20" s="91" t="s">
        <v>464</v>
      </c>
      <c r="F20" s="318">
        <v>29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318">
        <v>28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79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362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265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297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29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185</v>
      </c>
    </row>
    <row r="28" spans="2:6">
      <c r="B28" s="102" t="s">
        <v>27</v>
      </c>
      <c r="C28" s="103" t="s">
        <v>18</v>
      </c>
      <c r="D28" s="103" t="s">
        <v>246</v>
      </c>
      <c r="E28" s="103" t="s">
        <v>462</v>
      </c>
      <c r="F28" s="335">
        <v>1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228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248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569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556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349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69</v>
      </c>
    </row>
    <row r="35" spans="2:7">
      <c r="B35" s="102" t="s">
        <v>27</v>
      </c>
      <c r="C35" s="103" t="s">
        <v>6</v>
      </c>
      <c r="D35" s="103" t="s">
        <v>228</v>
      </c>
      <c r="E35" s="103" t="s">
        <v>470</v>
      </c>
      <c r="F35" s="335">
        <v>63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88</v>
      </c>
    </row>
    <row r="37" spans="2:7">
      <c r="B37" s="102" t="s">
        <v>27</v>
      </c>
      <c r="C37" s="103" t="s">
        <v>6</v>
      </c>
      <c r="D37" s="103" t="s">
        <v>500</v>
      </c>
      <c r="E37" s="103" t="s">
        <v>501</v>
      </c>
      <c r="F37" s="335">
        <v>1000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10</v>
      </c>
    </row>
    <row r="39" spans="2:7">
      <c r="B39" s="119" t="s">
        <v>40</v>
      </c>
      <c r="C39" s="120" t="s">
        <v>18</v>
      </c>
      <c r="D39" s="120" t="s">
        <v>45</v>
      </c>
      <c r="E39" s="120" t="s">
        <v>46</v>
      </c>
      <c r="F39" s="336">
        <v>330</v>
      </c>
    </row>
    <row r="40" spans="2:7">
      <c r="B40" s="122" t="s">
        <v>40</v>
      </c>
      <c r="C40" s="118" t="s">
        <v>18</v>
      </c>
      <c r="D40" s="118" t="s">
        <v>65</v>
      </c>
      <c r="E40" s="118" t="s">
        <v>66</v>
      </c>
      <c r="F40" s="337">
        <v>48</v>
      </c>
    </row>
    <row r="41" spans="2:7">
      <c r="B41" s="122" t="s">
        <v>40</v>
      </c>
      <c r="C41" s="118" t="s">
        <v>18</v>
      </c>
      <c r="D41" s="118" t="s">
        <v>49</v>
      </c>
      <c r="E41" s="118" t="s">
        <v>511</v>
      </c>
      <c r="F41" s="337">
        <v>23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737</v>
      </c>
      <c r="G43" s="342">
        <f>F43-150</f>
        <v>587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337">
        <v>70</v>
      </c>
    </row>
    <row r="45" spans="2:7" ht="17" thickBot="1">
      <c r="B45" s="124" t="s">
        <v>40</v>
      </c>
      <c r="C45" s="125" t="s">
        <v>6</v>
      </c>
      <c r="D45" s="125" t="s">
        <v>484</v>
      </c>
      <c r="E45" s="125" t="s">
        <v>486</v>
      </c>
      <c r="F45" s="338">
        <v>1334.7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627D-F70E-5842-89CC-94209212B080}">
  <dimension ref="B3:U84"/>
  <sheetViews>
    <sheetView showGridLines="0" tabSelected="1" topLeftCell="A73" zoomScale="83" workbookViewId="0">
      <selection activeCell="Q86" sqref="Q86"/>
    </sheetView>
  </sheetViews>
  <sheetFormatPr baseColWidth="10" defaultRowHeight="16"/>
  <cols>
    <col min="5" max="5" width="15" bestFit="1" customWidth="1"/>
  </cols>
  <sheetData>
    <row r="3" spans="2:21" ht="17" thickBot="1"/>
    <row r="4" spans="2:21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R4" t="s">
        <v>554</v>
      </c>
      <c r="S4">
        <v>500</v>
      </c>
      <c r="T4" t="s">
        <v>555</v>
      </c>
      <c r="U4">
        <v>1500</v>
      </c>
    </row>
    <row r="5" spans="2:21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13</v>
      </c>
    </row>
    <row r="6" spans="2:21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21">
      <c r="B7" s="90" t="s">
        <v>17</v>
      </c>
      <c r="C7" s="91" t="s">
        <v>18</v>
      </c>
      <c r="D7" s="91" t="s">
        <v>15</v>
      </c>
      <c r="E7" s="91" t="s">
        <v>465</v>
      </c>
      <c r="F7" s="318">
        <v>3</v>
      </c>
      <c r="R7" t="s">
        <v>552</v>
      </c>
      <c r="S7">
        <v>7</v>
      </c>
      <c r="T7" t="s">
        <v>553</v>
      </c>
      <c r="U7">
        <f>S7-2</f>
        <v>5</v>
      </c>
    </row>
    <row r="8" spans="2:21">
      <c r="B8" s="90" t="s">
        <v>17</v>
      </c>
      <c r="C8" s="91" t="s">
        <v>18</v>
      </c>
      <c r="D8" s="91" t="s">
        <v>59</v>
      </c>
      <c r="E8" s="91" t="s">
        <v>104</v>
      </c>
      <c r="F8" s="318">
        <v>112</v>
      </c>
    </row>
    <row r="9" spans="2:21">
      <c r="B9" s="90" t="s">
        <v>17</v>
      </c>
      <c r="C9" s="91" t="s">
        <v>18</v>
      </c>
      <c r="D9" s="91" t="s">
        <v>128</v>
      </c>
      <c r="E9" s="91" t="s">
        <v>250</v>
      </c>
      <c r="F9" s="318">
        <v>875</v>
      </c>
    </row>
    <row r="10" spans="2:21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36</v>
      </c>
      <c r="R10" t="s">
        <v>556</v>
      </c>
      <c r="S10">
        <f>U7*U4 - S7*S4</f>
        <v>4000</v>
      </c>
    </row>
    <row r="11" spans="2:21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22</v>
      </c>
    </row>
    <row r="12" spans="2:21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520</v>
      </c>
    </row>
    <row r="13" spans="2:21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120</v>
      </c>
    </row>
    <row r="14" spans="2:21">
      <c r="B14" s="90" t="s">
        <v>17</v>
      </c>
      <c r="C14" s="91" t="s">
        <v>6</v>
      </c>
      <c r="D14" s="91" t="s">
        <v>55</v>
      </c>
      <c r="E14" s="91" t="s">
        <v>56</v>
      </c>
      <c r="F14" s="318">
        <v>100</v>
      </c>
    </row>
    <row r="15" spans="2:21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10</v>
      </c>
    </row>
    <row r="16" spans="2:21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150</v>
      </c>
    </row>
    <row r="17" spans="2:19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127</v>
      </c>
      <c r="S17">
        <f>S10</f>
        <v>4000</v>
      </c>
    </row>
    <row r="18" spans="2:19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1834.2</v>
      </c>
      <c r="R18">
        <v>600</v>
      </c>
      <c r="S18">
        <f t="dataTable" ref="S18:S42" dt2D="0" dtr="0" r1="U4"/>
        <v>-500</v>
      </c>
    </row>
    <row r="19" spans="2:19">
      <c r="B19" s="90" t="s">
        <v>17</v>
      </c>
      <c r="C19" s="91" t="s">
        <v>6</v>
      </c>
      <c r="D19" s="91" t="s">
        <v>71</v>
      </c>
      <c r="E19" s="91" t="s">
        <v>463</v>
      </c>
      <c r="F19" s="318">
        <v>641</v>
      </c>
      <c r="R19">
        <v>700</v>
      </c>
      <c r="S19">
        <v>0</v>
      </c>
    </row>
    <row r="20" spans="2:19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159</v>
      </c>
      <c r="R20">
        <v>800</v>
      </c>
      <c r="S20">
        <v>500</v>
      </c>
    </row>
    <row r="21" spans="2:19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157</v>
      </c>
      <c r="R21">
        <v>900</v>
      </c>
      <c r="S21">
        <v>1000</v>
      </c>
    </row>
    <row r="22" spans="2:19">
      <c r="B22" s="90" t="s">
        <v>17</v>
      </c>
      <c r="C22" s="91" t="s">
        <v>6</v>
      </c>
      <c r="D22" s="91" t="s">
        <v>25</v>
      </c>
      <c r="E22" s="91" t="s">
        <v>26</v>
      </c>
      <c r="F22" s="318">
        <v>433</v>
      </c>
      <c r="R22">
        <v>1000</v>
      </c>
      <c r="S22">
        <v>1500</v>
      </c>
    </row>
    <row r="23" spans="2:19">
      <c r="B23" s="90" t="s">
        <v>17</v>
      </c>
      <c r="C23" s="91" t="s">
        <v>6</v>
      </c>
      <c r="D23" s="91" t="s">
        <v>67</v>
      </c>
      <c r="E23" s="91" t="s">
        <v>68</v>
      </c>
      <c r="F23" s="318">
        <v>150</v>
      </c>
      <c r="R23">
        <v>1100</v>
      </c>
      <c r="S23">
        <v>2000</v>
      </c>
    </row>
    <row r="24" spans="2:19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25</v>
      </c>
      <c r="R24">
        <v>1200</v>
      </c>
      <c r="S24">
        <v>2500</v>
      </c>
    </row>
    <row r="25" spans="2:19">
      <c r="B25" s="99" t="s">
        <v>27</v>
      </c>
      <c r="C25" s="100" t="s">
        <v>18</v>
      </c>
      <c r="D25" s="100" t="s">
        <v>81</v>
      </c>
      <c r="E25" s="100" t="s">
        <v>82</v>
      </c>
      <c r="F25" s="334">
        <v>160</v>
      </c>
      <c r="R25">
        <v>1300</v>
      </c>
      <c r="S25">
        <v>3000</v>
      </c>
    </row>
    <row r="26" spans="2:19">
      <c r="B26" s="102" t="s">
        <v>27</v>
      </c>
      <c r="C26" s="103" t="s">
        <v>18</v>
      </c>
      <c r="D26" s="103" t="s">
        <v>246</v>
      </c>
      <c r="E26" s="103" t="s">
        <v>462</v>
      </c>
      <c r="F26" s="335">
        <v>750</v>
      </c>
      <c r="R26">
        <v>1400</v>
      </c>
      <c r="S26">
        <v>3500</v>
      </c>
    </row>
    <row r="27" spans="2:19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0</v>
      </c>
      <c r="R27">
        <v>1500</v>
      </c>
      <c r="S27">
        <v>4000</v>
      </c>
    </row>
    <row r="28" spans="2:19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309</v>
      </c>
      <c r="R28">
        <v>1600</v>
      </c>
      <c r="S28">
        <v>4500</v>
      </c>
    </row>
    <row r="29" spans="2:19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183</v>
      </c>
      <c r="R29">
        <v>1700</v>
      </c>
      <c r="S29">
        <v>5000</v>
      </c>
    </row>
    <row r="30" spans="2:19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222</v>
      </c>
      <c r="R30">
        <v>1800</v>
      </c>
      <c r="S30">
        <v>5500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18</v>
      </c>
      <c r="R31">
        <v>1900</v>
      </c>
      <c r="S31">
        <v>6000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325</v>
      </c>
      <c r="R32">
        <v>2000</v>
      </c>
      <c r="S32">
        <v>6500</v>
      </c>
    </row>
    <row r="33" spans="2:19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701</v>
      </c>
      <c r="R33">
        <v>2100</v>
      </c>
      <c r="S33">
        <v>7000</v>
      </c>
    </row>
    <row r="34" spans="2:19">
      <c r="B34" s="102" t="s">
        <v>27</v>
      </c>
      <c r="C34" s="103" t="s">
        <v>6</v>
      </c>
      <c r="D34" s="103" t="s">
        <v>9</v>
      </c>
      <c r="E34" s="103" t="s">
        <v>105</v>
      </c>
      <c r="F34" s="335">
        <v>280</v>
      </c>
      <c r="R34">
        <v>2200</v>
      </c>
      <c r="S34">
        <v>7500</v>
      </c>
    </row>
    <row r="35" spans="2:19">
      <c r="B35" s="102" t="s">
        <v>27</v>
      </c>
      <c r="C35" s="103" t="s">
        <v>6</v>
      </c>
      <c r="D35" s="103" t="s">
        <v>53</v>
      </c>
      <c r="E35" s="103" t="s">
        <v>123</v>
      </c>
      <c r="F35" s="335">
        <v>50</v>
      </c>
      <c r="R35">
        <v>2300</v>
      </c>
      <c r="S35">
        <v>8000</v>
      </c>
    </row>
    <row r="36" spans="2:19">
      <c r="B36" s="102" t="s">
        <v>27</v>
      </c>
      <c r="C36" s="103" t="s">
        <v>6</v>
      </c>
      <c r="D36" s="103" t="s">
        <v>36</v>
      </c>
      <c r="E36" s="103" t="s">
        <v>37</v>
      </c>
      <c r="F36" s="335">
        <v>200</v>
      </c>
      <c r="R36">
        <v>2400</v>
      </c>
      <c r="S36">
        <v>8500</v>
      </c>
    </row>
    <row r="37" spans="2:19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25</v>
      </c>
      <c r="R37">
        <v>2500</v>
      </c>
      <c r="S37">
        <v>9000</v>
      </c>
    </row>
    <row r="38" spans="2:19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105</v>
      </c>
      <c r="R38">
        <v>2600</v>
      </c>
      <c r="S38">
        <v>9500</v>
      </c>
    </row>
    <row r="39" spans="2:19">
      <c r="B39" s="102" t="s">
        <v>27</v>
      </c>
      <c r="C39" s="103" t="s">
        <v>6</v>
      </c>
      <c r="D39" s="103" t="s">
        <v>500</v>
      </c>
      <c r="E39" s="103" t="s">
        <v>501</v>
      </c>
      <c r="F39" s="335">
        <v>990</v>
      </c>
      <c r="R39">
        <v>2700</v>
      </c>
      <c r="S39">
        <v>10000</v>
      </c>
    </row>
    <row r="40" spans="2:19" ht="17" thickBot="1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748</v>
      </c>
      <c r="R40">
        <v>2800</v>
      </c>
      <c r="S40">
        <v>10500</v>
      </c>
    </row>
    <row r="41" spans="2:19">
      <c r="B41" s="119" t="s">
        <v>40</v>
      </c>
      <c r="C41" s="120" t="s">
        <v>18</v>
      </c>
      <c r="D41" s="120" t="s">
        <v>69</v>
      </c>
      <c r="E41" s="120" t="s">
        <v>509</v>
      </c>
      <c r="F41" s="336">
        <v>64</v>
      </c>
      <c r="R41">
        <v>2900</v>
      </c>
      <c r="S41">
        <v>11000</v>
      </c>
    </row>
    <row r="42" spans="2:19">
      <c r="B42" s="122" t="s">
        <v>40</v>
      </c>
      <c r="C42" s="118" t="s">
        <v>18</v>
      </c>
      <c r="D42" s="118" t="s">
        <v>222</v>
      </c>
      <c r="E42" s="118" t="s">
        <v>44</v>
      </c>
      <c r="F42" s="337">
        <v>202</v>
      </c>
      <c r="R42">
        <v>3000</v>
      </c>
      <c r="S42">
        <v>11500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19">
      <c r="B44" s="122" t="s">
        <v>40</v>
      </c>
      <c r="C44" s="118" t="s">
        <v>6</v>
      </c>
      <c r="D44" s="118" t="s">
        <v>45</v>
      </c>
      <c r="E44" s="118" t="s">
        <v>46</v>
      </c>
      <c r="F44" s="337">
        <v>525</v>
      </c>
    </row>
    <row r="45" spans="2:19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27</v>
      </c>
    </row>
    <row r="46" spans="2:19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338">
        <v>4261.5</v>
      </c>
    </row>
    <row r="58" spans="12:18">
      <c r="M58" t="s">
        <v>558</v>
      </c>
    </row>
    <row r="59" spans="12:18">
      <c r="L59" t="s">
        <v>557</v>
      </c>
      <c r="M59" t="s">
        <v>559</v>
      </c>
      <c r="N59" t="s">
        <v>560</v>
      </c>
      <c r="O59" t="s">
        <v>561</v>
      </c>
      <c r="P59" t="s">
        <v>562</v>
      </c>
      <c r="Q59" t="s">
        <v>563</v>
      </c>
      <c r="R59" t="s">
        <v>564</v>
      </c>
    </row>
    <row r="60" spans="12:18">
      <c r="L60">
        <v>600</v>
      </c>
      <c r="M60">
        <v>-400</v>
      </c>
      <c r="N60">
        <v>-500</v>
      </c>
      <c r="O60">
        <v>-600</v>
      </c>
      <c r="P60">
        <v>-700</v>
      </c>
      <c r="Q60">
        <v>-800</v>
      </c>
      <c r="R60">
        <v>-900</v>
      </c>
    </row>
    <row r="61" spans="12:18">
      <c r="L61">
        <v>700</v>
      </c>
      <c r="M61">
        <v>200</v>
      </c>
      <c r="N61">
        <v>0</v>
      </c>
      <c r="O61">
        <v>-200</v>
      </c>
      <c r="P61">
        <v>-400</v>
      </c>
      <c r="Q61">
        <v>-600</v>
      </c>
      <c r="R61">
        <v>-800</v>
      </c>
    </row>
    <row r="62" spans="12:18">
      <c r="L62">
        <v>800</v>
      </c>
      <c r="M62">
        <v>800</v>
      </c>
      <c r="N62">
        <v>500</v>
      </c>
      <c r="O62">
        <v>200</v>
      </c>
      <c r="P62">
        <v>-100</v>
      </c>
      <c r="Q62">
        <v>-400</v>
      </c>
      <c r="R62">
        <v>-700</v>
      </c>
    </row>
    <row r="63" spans="12:18">
      <c r="L63">
        <v>900</v>
      </c>
      <c r="M63">
        <v>1400</v>
      </c>
      <c r="N63">
        <v>1000</v>
      </c>
      <c r="O63">
        <v>600</v>
      </c>
      <c r="P63">
        <v>200</v>
      </c>
      <c r="Q63">
        <v>-200</v>
      </c>
      <c r="R63">
        <v>-600</v>
      </c>
    </row>
    <row r="64" spans="12:18">
      <c r="L64">
        <v>1000</v>
      </c>
      <c r="M64">
        <v>2000</v>
      </c>
      <c r="N64">
        <v>1500</v>
      </c>
      <c r="O64">
        <v>1000</v>
      </c>
      <c r="P64">
        <v>500</v>
      </c>
      <c r="Q64">
        <v>0</v>
      </c>
      <c r="R64">
        <v>-500</v>
      </c>
    </row>
    <row r="65" spans="12:18">
      <c r="L65">
        <v>1100</v>
      </c>
      <c r="M65">
        <v>2600</v>
      </c>
      <c r="N65">
        <v>2000</v>
      </c>
      <c r="O65">
        <v>1400</v>
      </c>
      <c r="P65">
        <v>800</v>
      </c>
      <c r="Q65">
        <v>200</v>
      </c>
      <c r="R65">
        <v>-400</v>
      </c>
    </row>
    <row r="66" spans="12:18">
      <c r="L66">
        <v>1200</v>
      </c>
      <c r="M66">
        <v>3200</v>
      </c>
      <c r="N66">
        <v>2500</v>
      </c>
      <c r="O66">
        <v>1800</v>
      </c>
      <c r="P66">
        <v>1100</v>
      </c>
      <c r="Q66">
        <v>400</v>
      </c>
      <c r="R66">
        <v>-300</v>
      </c>
    </row>
    <row r="67" spans="12:18">
      <c r="L67">
        <v>1300</v>
      </c>
      <c r="M67">
        <v>3800</v>
      </c>
      <c r="N67">
        <v>3000</v>
      </c>
      <c r="O67">
        <v>2200</v>
      </c>
      <c r="P67">
        <v>1400</v>
      </c>
      <c r="Q67">
        <v>600</v>
      </c>
      <c r="R67">
        <v>-200</v>
      </c>
    </row>
    <row r="68" spans="12:18">
      <c r="L68">
        <v>1400</v>
      </c>
      <c r="M68">
        <v>4400</v>
      </c>
      <c r="N68">
        <v>3500</v>
      </c>
      <c r="O68">
        <v>2600</v>
      </c>
      <c r="P68">
        <v>1700</v>
      </c>
      <c r="Q68">
        <v>800</v>
      </c>
      <c r="R68">
        <v>-100</v>
      </c>
    </row>
    <row r="69" spans="12:18">
      <c r="L69">
        <v>1500</v>
      </c>
      <c r="M69">
        <v>5000</v>
      </c>
      <c r="N69">
        <v>4000</v>
      </c>
      <c r="O69">
        <v>3000</v>
      </c>
      <c r="P69">
        <v>2000</v>
      </c>
      <c r="Q69">
        <v>1000</v>
      </c>
      <c r="R69">
        <v>0</v>
      </c>
    </row>
    <row r="70" spans="12:18">
      <c r="L70">
        <v>1600</v>
      </c>
      <c r="M70">
        <v>5600</v>
      </c>
      <c r="N70">
        <v>4500</v>
      </c>
      <c r="O70">
        <v>3400</v>
      </c>
      <c r="P70">
        <v>2300</v>
      </c>
      <c r="Q70">
        <v>1200</v>
      </c>
      <c r="R70">
        <v>100</v>
      </c>
    </row>
    <row r="71" spans="12:18">
      <c r="L71">
        <v>1700</v>
      </c>
      <c r="M71">
        <v>6200</v>
      </c>
      <c r="N71">
        <v>5000</v>
      </c>
      <c r="O71">
        <v>3800</v>
      </c>
      <c r="P71">
        <v>2600</v>
      </c>
      <c r="Q71">
        <v>1400</v>
      </c>
      <c r="R71">
        <v>200</v>
      </c>
    </row>
    <row r="72" spans="12:18">
      <c r="L72">
        <v>1800</v>
      </c>
      <c r="M72">
        <v>6800</v>
      </c>
      <c r="N72">
        <v>5500</v>
      </c>
      <c r="O72">
        <v>4200</v>
      </c>
      <c r="P72">
        <v>2900</v>
      </c>
      <c r="Q72">
        <v>1600</v>
      </c>
      <c r="R72">
        <v>300</v>
      </c>
    </row>
    <row r="73" spans="12:18">
      <c r="L73">
        <v>1900</v>
      </c>
      <c r="M73">
        <v>7400</v>
      </c>
      <c r="N73">
        <v>6000</v>
      </c>
      <c r="O73">
        <v>4600</v>
      </c>
      <c r="P73">
        <v>3200</v>
      </c>
      <c r="Q73">
        <v>1800</v>
      </c>
      <c r="R73">
        <v>400</v>
      </c>
    </row>
    <row r="74" spans="12:18">
      <c r="L74">
        <v>2000</v>
      </c>
      <c r="M74">
        <v>8000</v>
      </c>
      <c r="N74">
        <v>6500</v>
      </c>
      <c r="O74">
        <v>5000</v>
      </c>
      <c r="P74">
        <v>3500</v>
      </c>
      <c r="Q74">
        <v>2000</v>
      </c>
      <c r="R74">
        <v>500</v>
      </c>
    </row>
    <row r="75" spans="12:18">
      <c r="L75">
        <v>2100</v>
      </c>
      <c r="M75">
        <v>8600</v>
      </c>
      <c r="N75">
        <v>7000</v>
      </c>
      <c r="O75">
        <v>5400</v>
      </c>
      <c r="P75">
        <v>3800</v>
      </c>
      <c r="Q75">
        <v>2200</v>
      </c>
      <c r="R75">
        <v>600</v>
      </c>
    </row>
    <row r="76" spans="12:18">
      <c r="L76">
        <v>2200</v>
      </c>
      <c r="M76">
        <v>9200</v>
      </c>
      <c r="N76">
        <v>7500</v>
      </c>
      <c r="O76">
        <v>5800</v>
      </c>
      <c r="P76">
        <v>4100</v>
      </c>
      <c r="Q76">
        <v>2400</v>
      </c>
      <c r="R76">
        <v>700</v>
      </c>
    </row>
    <row r="77" spans="12:18">
      <c r="L77">
        <v>2300</v>
      </c>
      <c r="M77">
        <v>9800</v>
      </c>
      <c r="N77">
        <v>8000</v>
      </c>
      <c r="O77">
        <v>6200</v>
      </c>
      <c r="P77">
        <v>4400</v>
      </c>
      <c r="Q77">
        <v>2600</v>
      </c>
      <c r="R77">
        <v>800</v>
      </c>
    </row>
    <row r="78" spans="12:18">
      <c r="L78">
        <v>2400</v>
      </c>
      <c r="M78">
        <v>10400</v>
      </c>
      <c r="N78">
        <v>8500</v>
      </c>
      <c r="O78">
        <v>6600</v>
      </c>
      <c r="P78">
        <v>4700</v>
      </c>
      <c r="Q78">
        <v>2800</v>
      </c>
      <c r="R78">
        <v>900</v>
      </c>
    </row>
    <row r="79" spans="12:18">
      <c r="L79">
        <v>2500</v>
      </c>
      <c r="M79">
        <v>11000</v>
      </c>
      <c r="N79">
        <v>9000</v>
      </c>
      <c r="O79">
        <v>7000</v>
      </c>
      <c r="P79">
        <v>5000</v>
      </c>
      <c r="Q79">
        <v>3000</v>
      </c>
      <c r="R79">
        <v>1000</v>
      </c>
    </row>
    <row r="80" spans="12:18">
      <c r="L80">
        <v>2600</v>
      </c>
      <c r="M80">
        <v>11600</v>
      </c>
      <c r="N80">
        <v>9500</v>
      </c>
      <c r="O80">
        <v>7400</v>
      </c>
      <c r="P80">
        <v>5300</v>
      </c>
      <c r="Q80">
        <v>3200</v>
      </c>
      <c r="R80">
        <v>1100</v>
      </c>
    </row>
    <row r="81" spans="12:18">
      <c r="L81">
        <v>2700</v>
      </c>
      <c r="M81">
        <v>12200</v>
      </c>
      <c r="N81">
        <v>10000</v>
      </c>
      <c r="O81">
        <v>7800</v>
      </c>
      <c r="P81">
        <v>5600</v>
      </c>
      <c r="Q81">
        <v>3400</v>
      </c>
      <c r="R81">
        <v>1200</v>
      </c>
    </row>
    <row r="82" spans="12:18">
      <c r="L82">
        <v>2800</v>
      </c>
      <c r="M82">
        <v>12800</v>
      </c>
      <c r="N82">
        <v>10500</v>
      </c>
      <c r="O82">
        <v>8200</v>
      </c>
      <c r="P82">
        <v>5900</v>
      </c>
      <c r="Q82">
        <v>3600</v>
      </c>
      <c r="R82">
        <v>1300</v>
      </c>
    </row>
    <row r="83" spans="12:18">
      <c r="L83">
        <v>2900</v>
      </c>
      <c r="M83">
        <v>13400</v>
      </c>
      <c r="N83">
        <v>11000</v>
      </c>
      <c r="O83">
        <v>8600</v>
      </c>
      <c r="P83">
        <v>6200</v>
      </c>
      <c r="Q83">
        <v>3800</v>
      </c>
      <c r="R83">
        <v>1400</v>
      </c>
    </row>
    <row r="84" spans="12:18">
      <c r="L84">
        <v>3000</v>
      </c>
      <c r="M84">
        <v>14000</v>
      </c>
      <c r="N84">
        <v>11500</v>
      </c>
      <c r="O84">
        <v>9000</v>
      </c>
      <c r="P84">
        <v>6500</v>
      </c>
      <c r="Q84">
        <v>4000</v>
      </c>
      <c r="R84">
        <v>1500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02FD-433D-8B47-92C6-2B5D2ED0DC43}">
  <dimension ref="C2:CO74"/>
  <sheetViews>
    <sheetView showGridLines="0" topLeftCell="BC1" zoomScale="85" zoomScaleNormal="14" workbookViewId="0">
      <selection activeCell="CL28" sqref="CL28"/>
    </sheetView>
  </sheetViews>
  <sheetFormatPr baseColWidth="10" defaultRowHeight="16"/>
  <cols>
    <col min="1" max="1" width="2.6640625" customWidth="1"/>
    <col min="2" max="2" width="3.5" customWidth="1"/>
    <col min="3" max="8" width="15" customWidth="1"/>
    <col min="9" max="9" width="5.33203125" style="324" customWidth="1"/>
    <col min="10" max="11" width="15" customWidth="1"/>
    <col min="59" max="59" width="6.6640625" bestFit="1" customWidth="1"/>
    <col min="70" max="70" width="21.1640625" bestFit="1" customWidth="1"/>
    <col min="72" max="72" width="17.83203125" bestFit="1" customWidth="1"/>
    <col min="88" max="88" width="17.5" bestFit="1" customWidth="1"/>
    <col min="90" max="90" width="16.33203125" bestFit="1" customWidth="1"/>
  </cols>
  <sheetData>
    <row r="2" spans="3:93">
      <c r="C2" s="327" t="s">
        <v>0</v>
      </c>
      <c r="D2" s="327" t="s">
        <v>76</v>
      </c>
    </row>
    <row r="3" spans="3:93">
      <c r="C3" s="328" t="s">
        <v>40</v>
      </c>
      <c r="D3" s="328">
        <f>COUNTA(C10:C69) - COUNTBLANK(C10:C69)</f>
        <v>12</v>
      </c>
    </row>
    <row r="4" spans="3:93">
      <c r="C4" s="328" t="s">
        <v>27</v>
      </c>
      <c r="D4" s="328">
        <f>COUNTA(E10:E69) - COUNTBLANK(E10:E69)</f>
        <v>17</v>
      </c>
      <c r="BF4" s="331" t="s">
        <v>497</v>
      </c>
      <c r="BG4" s="331">
        <f>SUM(BD6:BD10)</f>
        <v>266</v>
      </c>
    </row>
    <row r="5" spans="3:93" ht="18">
      <c r="C5" s="328" t="s">
        <v>17</v>
      </c>
      <c r="D5" s="328">
        <f>COUNTA(G10:G69) - COUNTBLANK(G10:G69)</f>
        <v>27</v>
      </c>
      <c r="BC5" s="329" t="s">
        <v>490</v>
      </c>
      <c r="BD5" s="330" t="s">
        <v>76</v>
      </c>
      <c r="BF5" s="331" t="s">
        <v>496</v>
      </c>
      <c r="BG5" s="332">
        <f>SUM(BD6:BD10) + 1.5*(2 * STDEV(BD6:BD10))</f>
        <v>275.98373677537626</v>
      </c>
      <c r="BR5" s="339" t="s">
        <v>3</v>
      </c>
      <c r="BS5" s="339" t="s">
        <v>2</v>
      </c>
      <c r="BT5" s="339" t="s">
        <v>283</v>
      </c>
      <c r="BU5" s="339" t="s">
        <v>519</v>
      </c>
      <c r="BV5" s="339" t="s">
        <v>520</v>
      </c>
      <c r="BW5" s="339" t="s">
        <v>521</v>
      </c>
      <c r="BX5" s="339" t="s">
        <v>522</v>
      </c>
      <c r="BY5" s="339" t="s">
        <v>523</v>
      </c>
      <c r="BZ5" s="339" t="s">
        <v>524</v>
      </c>
      <c r="CA5" s="339" t="s">
        <v>276</v>
      </c>
      <c r="CB5" s="339"/>
    </row>
    <row r="6" spans="3:93" ht="18">
      <c r="C6" s="328" t="s">
        <v>489</v>
      </c>
      <c r="D6" s="328">
        <f>169-SUM(D3:D5)-100</f>
        <v>13</v>
      </c>
      <c r="BC6" s="329" t="s">
        <v>492</v>
      </c>
      <c r="BD6" s="330">
        <v>53</v>
      </c>
      <c r="BK6" t="s">
        <v>2</v>
      </c>
      <c r="BL6" t="s">
        <v>3</v>
      </c>
      <c r="BM6" t="s">
        <v>0</v>
      </c>
      <c r="BR6" s="339" t="str">
        <f t="shared" ref="BR6:BR37" si="0">VLOOKUP(BS6,$BK$7:$BL$74,2)</f>
        <v>Pardo</v>
      </c>
      <c r="BS6" s="339" t="s">
        <v>395</v>
      </c>
      <c r="BT6" s="340">
        <v>44843.407962962963</v>
      </c>
      <c r="BU6" s="339">
        <v>0</v>
      </c>
      <c r="BV6" s="341">
        <v>283864</v>
      </c>
      <c r="BW6" s="341">
        <v>159958</v>
      </c>
      <c r="BX6" s="341">
        <v>-193417</v>
      </c>
      <c r="BY6" s="341">
        <v>-33458</v>
      </c>
      <c r="BZ6" s="339" t="s">
        <v>525</v>
      </c>
      <c r="CA6" s="339">
        <v>0</v>
      </c>
      <c r="CB6" s="339"/>
    </row>
    <row r="7" spans="3:93" ht="19" thickBot="1">
      <c r="BC7" s="329" t="s">
        <v>493</v>
      </c>
      <c r="BD7" s="330">
        <v>51</v>
      </c>
      <c r="BK7" t="s">
        <v>454</v>
      </c>
      <c r="BL7" t="s">
        <v>455</v>
      </c>
      <c r="BM7" t="s">
        <v>453</v>
      </c>
      <c r="BR7" s="339" t="str">
        <f t="shared" si="0"/>
        <v>ColesAccount</v>
      </c>
      <c r="BS7" s="339" t="s">
        <v>398</v>
      </c>
      <c r="BT7" s="340">
        <v>44845.473009259258</v>
      </c>
      <c r="BU7" s="339">
        <v>635</v>
      </c>
      <c r="BV7" s="341">
        <v>142334</v>
      </c>
      <c r="BW7" s="341">
        <v>55431</v>
      </c>
      <c r="BX7" s="341">
        <v>-63059</v>
      </c>
      <c r="BY7" s="341">
        <v>-7628</v>
      </c>
      <c r="BZ7" s="339" t="s">
        <v>525</v>
      </c>
      <c r="CA7" s="341">
        <v>1000</v>
      </c>
      <c r="CB7" s="339"/>
      <c r="CJ7" s="339" t="s">
        <v>3</v>
      </c>
      <c r="CK7" s="339" t="s">
        <v>2</v>
      </c>
      <c r="CL7" s="339" t="s">
        <v>549</v>
      </c>
      <c r="CM7" s="339" t="s">
        <v>521</v>
      </c>
      <c r="CN7" s="339" t="s">
        <v>522</v>
      </c>
      <c r="CO7" s="339" t="s">
        <v>523</v>
      </c>
    </row>
    <row r="8" spans="3:93" ht="19">
      <c r="C8" s="347" t="s">
        <v>40</v>
      </c>
      <c r="D8" s="348"/>
      <c r="E8" s="349" t="s">
        <v>27</v>
      </c>
      <c r="F8" s="350"/>
      <c r="G8" s="351" t="s">
        <v>17</v>
      </c>
      <c r="H8" s="352"/>
      <c r="I8" s="325"/>
      <c r="J8" s="353"/>
      <c r="K8" s="354"/>
      <c r="M8" t="s">
        <v>458</v>
      </c>
      <c r="N8" s="171"/>
      <c r="O8" t="s">
        <v>40</v>
      </c>
      <c r="P8" t="s">
        <v>40</v>
      </c>
      <c r="Q8" t="s">
        <v>27</v>
      </c>
      <c r="R8" t="s">
        <v>27</v>
      </c>
      <c r="S8" t="s">
        <v>17</v>
      </c>
      <c r="T8" t="s">
        <v>17</v>
      </c>
      <c r="U8" t="s">
        <v>453</v>
      </c>
      <c r="V8" t="s">
        <v>453</v>
      </c>
      <c r="BC8" s="329" t="s">
        <v>491</v>
      </c>
      <c r="BD8" s="330">
        <v>59</v>
      </c>
      <c r="BK8" t="s">
        <v>55</v>
      </c>
      <c r="BL8" t="s">
        <v>56</v>
      </c>
      <c r="BM8" t="s">
        <v>17</v>
      </c>
      <c r="BR8" s="339" t="str">
        <f t="shared" si="0"/>
        <v>Narter</v>
      </c>
      <c r="BS8" s="339" t="s">
        <v>331</v>
      </c>
      <c r="BT8" s="340">
        <v>44845.761759259258</v>
      </c>
      <c r="BU8" s="341">
        <v>2640</v>
      </c>
      <c r="BV8" s="341">
        <v>135757</v>
      </c>
      <c r="BW8" s="341">
        <v>73698</v>
      </c>
      <c r="BX8" s="341">
        <v>-70237</v>
      </c>
      <c r="BY8" s="341">
        <v>3460</v>
      </c>
      <c r="BZ8" s="339" t="s">
        <v>525</v>
      </c>
      <c r="CA8" s="339">
        <v>150</v>
      </c>
      <c r="CB8" s="339"/>
      <c r="CJ8" s="339" t="str">
        <f>VLOOKUP(CK8,$BK$7:$BL$74,2)</f>
        <v>Pardo</v>
      </c>
      <c r="CK8" s="339" t="s">
        <v>395</v>
      </c>
      <c r="CL8" s="341">
        <v>283864</v>
      </c>
      <c r="CM8" s="341">
        <v>159958</v>
      </c>
      <c r="CN8" s="341">
        <v>-193417</v>
      </c>
      <c r="CO8" s="341">
        <v>-33458</v>
      </c>
    </row>
    <row r="9" spans="3:93" ht="19" thickBot="1">
      <c r="C9" s="237" t="s">
        <v>448</v>
      </c>
      <c r="D9" s="239" t="s">
        <v>449</v>
      </c>
      <c r="E9" s="240" t="s">
        <v>448</v>
      </c>
      <c r="F9" s="241" t="s">
        <v>449</v>
      </c>
      <c r="G9" s="242" t="s">
        <v>448</v>
      </c>
      <c r="H9" s="238" t="s">
        <v>449</v>
      </c>
      <c r="I9" s="326"/>
      <c r="J9" s="320" t="s">
        <v>448</v>
      </c>
      <c r="K9" s="243" t="s">
        <v>449</v>
      </c>
      <c r="O9" t="s">
        <v>448</v>
      </c>
      <c r="P9" t="s">
        <v>449</v>
      </c>
      <c r="Q9" t="s">
        <v>448</v>
      </c>
      <c r="R9" t="s">
        <v>449</v>
      </c>
      <c r="S9" t="s">
        <v>448</v>
      </c>
      <c r="T9" t="s">
        <v>449</v>
      </c>
      <c r="U9" t="s">
        <v>448</v>
      </c>
      <c r="V9" t="s">
        <v>449</v>
      </c>
      <c r="BC9" s="329" t="s">
        <v>494</v>
      </c>
      <c r="BD9" s="330">
        <v>51.5</v>
      </c>
      <c r="BK9" t="s">
        <v>43</v>
      </c>
      <c r="BL9" t="s">
        <v>459</v>
      </c>
      <c r="BM9" t="s">
        <v>17</v>
      </c>
      <c r="BR9" s="339" t="str">
        <f t="shared" si="0"/>
        <v>USCGabe</v>
      </c>
      <c r="BS9" s="339" t="s">
        <v>548</v>
      </c>
      <c r="BT9" s="340">
        <v>44846.802777777775</v>
      </c>
      <c r="BU9" s="339">
        <v>0</v>
      </c>
      <c r="BV9" s="341">
        <v>102473</v>
      </c>
      <c r="BW9" s="341">
        <v>32347</v>
      </c>
      <c r="BX9" s="341">
        <v>-42923</v>
      </c>
      <c r="BY9" s="341">
        <v>-10575</v>
      </c>
      <c r="BZ9" s="339" t="s">
        <v>525</v>
      </c>
      <c r="CA9" s="339">
        <v>580</v>
      </c>
      <c r="CB9" s="339"/>
      <c r="CJ9" s="339" t="str">
        <f>VLOOKUP(CK9,$BK$7:$BL$74,2)</f>
        <v>ColesAccount</v>
      </c>
      <c r="CK9" s="339" t="s">
        <v>398</v>
      </c>
      <c r="CL9" s="341">
        <v>142334</v>
      </c>
      <c r="CM9" s="341">
        <v>55431</v>
      </c>
      <c r="CN9" s="341">
        <v>-63059</v>
      </c>
      <c r="CO9" s="341">
        <v>-7628</v>
      </c>
    </row>
    <row r="10" spans="3:93" ht="18">
      <c r="C10" s="244" t="str">
        <f t="shared" ref="C10:H10" si="1">IF(O10="","",O10)</f>
        <v>pyr105</v>
      </c>
      <c r="D10" s="245" t="str">
        <f t="shared" si="1"/>
        <v>Mike Maxwell</v>
      </c>
      <c r="E10" s="246" t="str">
        <f t="shared" si="1"/>
        <v>pyr106</v>
      </c>
      <c r="F10" s="247" t="str">
        <f t="shared" si="1"/>
        <v>Tommy</v>
      </c>
      <c r="G10" s="248" t="str">
        <f t="shared" si="1"/>
        <v>pyr102</v>
      </c>
      <c r="H10" s="249" t="str">
        <f t="shared" si="1"/>
        <v>James Mendel</v>
      </c>
      <c r="J10" s="321" t="str">
        <f t="shared" ref="J10:K10" si="2">IF(U10="","",U10)</f>
        <v>pyr101</v>
      </c>
      <c r="K10" s="250" t="str">
        <f t="shared" si="2"/>
        <v>DEMO</v>
      </c>
      <c r="N10">
        <v>0</v>
      </c>
      <c r="O10" t="s">
        <v>45</v>
      </c>
      <c r="P10" t="s">
        <v>46</v>
      </c>
      <c r="Q10" t="s">
        <v>61</v>
      </c>
      <c r="R10" t="s">
        <v>62</v>
      </c>
      <c r="S10" t="s">
        <v>55</v>
      </c>
      <c r="T10" t="s">
        <v>56</v>
      </c>
      <c r="U10" t="s">
        <v>454</v>
      </c>
      <c r="V10" t="s">
        <v>455</v>
      </c>
      <c r="BC10" s="329" t="s">
        <v>495</v>
      </c>
      <c r="BD10" s="330">
        <v>51.5</v>
      </c>
      <c r="BK10" t="s">
        <v>21</v>
      </c>
      <c r="BL10" t="s">
        <v>22</v>
      </c>
      <c r="BM10" t="s">
        <v>17</v>
      </c>
      <c r="BR10" s="339" t="str">
        <f t="shared" si="0"/>
        <v>Noah</v>
      </c>
      <c r="BS10" s="339" t="s">
        <v>329</v>
      </c>
      <c r="BT10" s="340">
        <v>44829.253113425926</v>
      </c>
      <c r="BU10" s="339">
        <v>0</v>
      </c>
      <c r="BV10" s="341">
        <v>72756</v>
      </c>
      <c r="BW10" s="341">
        <v>30521</v>
      </c>
      <c r="BX10" s="341">
        <v>-39907</v>
      </c>
      <c r="BY10" s="341">
        <v>-9386</v>
      </c>
      <c r="BZ10" s="339" t="s">
        <v>525</v>
      </c>
      <c r="CA10" s="339">
        <v>0</v>
      </c>
      <c r="CB10" s="339"/>
      <c r="CJ10" s="339" t="str">
        <f>VLOOKUP(CK10,$BK$7:$BL$74,2)</f>
        <v>Narter</v>
      </c>
      <c r="CK10" s="339" t="s">
        <v>331</v>
      </c>
      <c r="CL10" s="341">
        <v>135757</v>
      </c>
      <c r="CM10" s="341">
        <v>73698</v>
      </c>
      <c r="CN10" s="341">
        <v>-70237</v>
      </c>
      <c r="CO10" s="341">
        <v>3460</v>
      </c>
    </row>
    <row r="11" spans="3:93" ht="18">
      <c r="C11" s="251" t="str">
        <f t="shared" ref="C11:C69" si="3">IF(O11="","",O11)</f>
        <v>pyr110</v>
      </c>
      <c r="D11" s="252" t="str">
        <f t="shared" ref="D11:D69" si="4">IF(P11="","",P11)</f>
        <v>Hannah</v>
      </c>
      <c r="E11" s="253" t="str">
        <f t="shared" ref="E11:E69" si="5">IF(Q11="","",Q11)</f>
        <v>pyr107</v>
      </c>
      <c r="F11" s="254" t="str">
        <f t="shared" ref="F11:F69" si="6">IF(R11="","",R11)</f>
        <v>Christian</v>
      </c>
      <c r="G11" s="255" t="str">
        <f t="shared" ref="G11:G69" si="7">IF(S11="","",S11)</f>
        <v>pyr103</v>
      </c>
      <c r="H11" s="256" t="str">
        <f t="shared" ref="H11:H69" si="8">IF(T11="","",T11)</f>
        <v>Jimmy</v>
      </c>
      <c r="J11" s="322" t="str">
        <f t="shared" ref="J11:J69" si="9">IF(U11="","",U11)</f>
        <v>pyr113</v>
      </c>
      <c r="K11" s="257" t="str">
        <f t="shared" ref="K11:K69" si="10">IF(V11="","",V11)</f>
        <v>OPEN</v>
      </c>
      <c r="N11">
        <v>1</v>
      </c>
      <c r="O11" t="s">
        <v>69</v>
      </c>
      <c r="P11" t="s">
        <v>509</v>
      </c>
      <c r="Q11" t="s">
        <v>30</v>
      </c>
      <c r="R11" t="s">
        <v>31</v>
      </c>
      <c r="S11" t="s">
        <v>43</v>
      </c>
      <c r="T11" t="s">
        <v>459</v>
      </c>
      <c r="U11" t="s">
        <v>111</v>
      </c>
      <c r="V11" t="s">
        <v>456</v>
      </c>
      <c r="BK11" t="s">
        <v>45</v>
      </c>
      <c r="BL11" t="s">
        <v>46</v>
      </c>
      <c r="BM11" t="s">
        <v>40</v>
      </c>
      <c r="BR11" s="339" t="str">
        <f t="shared" si="0"/>
        <v>Quentin</v>
      </c>
      <c r="BS11" s="339" t="s">
        <v>391</v>
      </c>
      <c r="BT11" s="340">
        <v>44846.821932870371</v>
      </c>
      <c r="BU11" s="339">
        <v>454</v>
      </c>
      <c r="BV11" s="341">
        <v>45734</v>
      </c>
      <c r="BW11" s="341">
        <v>19440</v>
      </c>
      <c r="BX11" s="341">
        <v>-22212</v>
      </c>
      <c r="BY11" s="341">
        <v>-2772</v>
      </c>
      <c r="BZ11" s="339" t="s">
        <v>525</v>
      </c>
      <c r="CA11" s="339">
        <v>127</v>
      </c>
      <c r="CB11" s="339"/>
      <c r="CJ11" s="339" t="str">
        <f>VLOOKUP(CK11,$BK$7:$BL$74,2)</f>
        <v>USCGabe</v>
      </c>
      <c r="CK11" s="339" t="s">
        <v>548</v>
      </c>
      <c r="CL11" s="341">
        <v>102473</v>
      </c>
      <c r="CM11" s="341">
        <v>32347</v>
      </c>
      <c r="CN11" s="341">
        <v>-42923</v>
      </c>
      <c r="CO11" s="341">
        <v>-10575</v>
      </c>
    </row>
    <row r="12" spans="3:93" ht="18">
      <c r="C12" s="251" t="str">
        <f t="shared" si="3"/>
        <v>pyr112</v>
      </c>
      <c r="D12" s="252" t="str">
        <f t="shared" si="4"/>
        <v>JohnEverett</v>
      </c>
      <c r="E12" s="253" t="str">
        <f t="shared" si="5"/>
        <v>pyr109</v>
      </c>
      <c r="F12" s="254" t="str">
        <f t="shared" si="6"/>
        <v>Kevin Victory</v>
      </c>
      <c r="G12" s="255" t="str">
        <f t="shared" si="7"/>
        <v>pyr104</v>
      </c>
      <c r="H12" s="256" t="str">
        <f t="shared" si="8"/>
        <v>Eric</v>
      </c>
      <c r="J12" s="322" t="str">
        <f t="shared" si="9"/>
        <v>pyr117</v>
      </c>
      <c r="K12" s="257" t="str">
        <f t="shared" si="10"/>
        <v>OPEN</v>
      </c>
      <c r="N12">
        <v>2</v>
      </c>
      <c r="O12" t="s">
        <v>224</v>
      </c>
      <c r="P12" t="s">
        <v>510</v>
      </c>
      <c r="Q12" t="s">
        <v>28</v>
      </c>
      <c r="R12" t="s">
        <v>29</v>
      </c>
      <c r="S12" t="s">
        <v>21</v>
      </c>
      <c r="T12" t="s">
        <v>22</v>
      </c>
      <c r="U12" t="s">
        <v>41</v>
      </c>
      <c r="V12" t="s">
        <v>456</v>
      </c>
      <c r="BK12" t="s">
        <v>61</v>
      </c>
      <c r="BL12" t="s">
        <v>62</v>
      </c>
      <c r="BM12" t="s">
        <v>27</v>
      </c>
      <c r="BR12" s="339" t="str">
        <f t="shared" si="0"/>
        <v>Cary</v>
      </c>
      <c r="BS12" s="339" t="s">
        <v>366</v>
      </c>
      <c r="BT12" s="340">
        <v>44846.449699074074</v>
      </c>
      <c r="BU12" s="339">
        <v>196</v>
      </c>
      <c r="BV12" s="341">
        <v>43437</v>
      </c>
      <c r="BW12" s="341">
        <v>18733</v>
      </c>
      <c r="BX12" s="341">
        <v>-20575</v>
      </c>
      <c r="BY12" s="341">
        <v>-1842</v>
      </c>
      <c r="BZ12" s="339" t="s">
        <v>525</v>
      </c>
      <c r="CA12" s="339">
        <v>73</v>
      </c>
      <c r="CB12" s="339"/>
    </row>
    <row r="13" spans="3:93" ht="18">
      <c r="C13" s="251" t="str">
        <f t="shared" si="3"/>
        <v>pyr116</v>
      </c>
      <c r="D13" s="252" t="str">
        <f t="shared" si="4"/>
        <v>stew</v>
      </c>
      <c r="E13" s="253" t="str">
        <f t="shared" si="5"/>
        <v>pyr111</v>
      </c>
      <c r="F13" s="254" t="str">
        <f t="shared" si="6"/>
        <v>RyanVictory</v>
      </c>
      <c r="G13" s="255" t="str">
        <f t="shared" si="7"/>
        <v>pyr108</v>
      </c>
      <c r="H13" s="256" t="str">
        <f t="shared" si="8"/>
        <v>Clark</v>
      </c>
      <c r="J13" s="322" t="str">
        <f t="shared" si="9"/>
        <v>pyr135</v>
      </c>
      <c r="K13" s="257" t="str">
        <f t="shared" si="10"/>
        <v>OPEN</v>
      </c>
      <c r="N13">
        <v>3</v>
      </c>
      <c r="O13" t="s">
        <v>113</v>
      </c>
      <c r="P13" t="s">
        <v>114</v>
      </c>
      <c r="Q13" t="s">
        <v>7</v>
      </c>
      <c r="R13" t="s">
        <v>461</v>
      </c>
      <c r="S13" t="s">
        <v>51</v>
      </c>
      <c r="T13" t="s">
        <v>460</v>
      </c>
      <c r="U13" t="s">
        <v>79</v>
      </c>
      <c r="V13" t="s">
        <v>456</v>
      </c>
      <c r="BK13" t="s">
        <v>30</v>
      </c>
      <c r="BL13" t="s">
        <v>31</v>
      </c>
      <c r="BM13" t="s">
        <v>27</v>
      </c>
      <c r="BR13" s="339" t="str">
        <f t="shared" si="0"/>
        <v>Tee</v>
      </c>
      <c r="BS13" s="339" t="s">
        <v>384</v>
      </c>
      <c r="BT13" s="340">
        <v>44815.246435185189</v>
      </c>
      <c r="BU13" s="339">
        <v>0</v>
      </c>
      <c r="BV13" s="341">
        <v>32886</v>
      </c>
      <c r="BW13" s="341">
        <v>14632</v>
      </c>
      <c r="BX13" s="341">
        <v>-18124</v>
      </c>
      <c r="BY13" s="341">
        <v>-3492</v>
      </c>
      <c r="BZ13" s="339" t="s">
        <v>525</v>
      </c>
      <c r="CA13" s="339">
        <v>0</v>
      </c>
      <c r="CB13" s="339"/>
    </row>
    <row r="14" spans="3:93" ht="18">
      <c r="C14" s="251" t="str">
        <f t="shared" si="3"/>
        <v>pyr125</v>
      </c>
      <c r="D14" s="252" t="str">
        <f t="shared" si="4"/>
        <v>Noah</v>
      </c>
      <c r="E14" s="253" t="str">
        <f t="shared" si="5"/>
        <v>pyr114</v>
      </c>
      <c r="F14" s="254" t="str">
        <f t="shared" si="6"/>
        <v>Kyle Beta</v>
      </c>
      <c r="G14" s="255" t="str">
        <f t="shared" si="7"/>
        <v>pyr115</v>
      </c>
      <c r="H14" s="256" t="str">
        <f t="shared" si="8"/>
        <v>Tim</v>
      </c>
      <c r="J14" s="322" t="str">
        <f t="shared" si="9"/>
        <v>pyr142</v>
      </c>
      <c r="K14" s="257" t="str">
        <f t="shared" si="10"/>
        <v>OPEN</v>
      </c>
      <c r="N14">
        <v>4</v>
      </c>
      <c r="O14" t="s">
        <v>47</v>
      </c>
      <c r="P14" t="s">
        <v>229</v>
      </c>
      <c r="Q14" t="s">
        <v>32</v>
      </c>
      <c r="R14" t="s">
        <v>33</v>
      </c>
      <c r="S14" t="s">
        <v>23</v>
      </c>
      <c r="T14" t="s">
        <v>24</v>
      </c>
      <c r="U14" t="s">
        <v>126</v>
      </c>
      <c r="V14" t="s">
        <v>456</v>
      </c>
      <c r="BK14" t="s">
        <v>51</v>
      </c>
      <c r="BL14" t="s">
        <v>460</v>
      </c>
      <c r="BM14" t="s">
        <v>17</v>
      </c>
      <c r="BR14" s="339" t="str">
        <f t="shared" si="0"/>
        <v>TylerL</v>
      </c>
      <c r="BS14" s="339" t="s">
        <v>334</v>
      </c>
      <c r="BT14" s="340">
        <v>44843.66715277778</v>
      </c>
      <c r="BU14" s="339">
        <v>0</v>
      </c>
      <c r="BV14" s="341">
        <v>23553</v>
      </c>
      <c r="BW14" s="341">
        <v>14064</v>
      </c>
      <c r="BX14" s="341">
        <v>-14806</v>
      </c>
      <c r="BY14" s="339">
        <v>-742</v>
      </c>
      <c r="BZ14" s="339" t="s">
        <v>525</v>
      </c>
      <c r="CA14" s="339">
        <v>0</v>
      </c>
      <c r="CB14" s="339"/>
    </row>
    <row r="15" spans="3:93" ht="18">
      <c r="C15" s="251" t="str">
        <f t="shared" si="3"/>
        <v>pyr129</v>
      </c>
      <c r="D15" s="252" t="str">
        <f t="shared" si="4"/>
        <v>Wagner</v>
      </c>
      <c r="E15" s="253" t="str">
        <f t="shared" si="5"/>
        <v>pyr118</v>
      </c>
      <c r="F15" s="254" t="str">
        <f t="shared" si="6"/>
        <v>Christian #1</v>
      </c>
      <c r="G15" s="255" t="str">
        <f t="shared" si="7"/>
        <v>pyr119</v>
      </c>
      <c r="H15" s="256" t="str">
        <f t="shared" si="8"/>
        <v>Lance</v>
      </c>
      <c r="J15" s="322" t="str">
        <f t="shared" si="9"/>
        <v>pyr151</v>
      </c>
      <c r="K15" s="257" t="str">
        <f t="shared" si="10"/>
        <v>OPEN</v>
      </c>
      <c r="N15">
        <v>5</v>
      </c>
      <c r="O15" t="s">
        <v>65</v>
      </c>
      <c r="P15" t="s">
        <v>66</v>
      </c>
      <c r="Q15" t="s">
        <v>34</v>
      </c>
      <c r="R15" t="s">
        <v>35</v>
      </c>
      <c r="S15" t="s">
        <v>57</v>
      </c>
      <c r="T15" t="s">
        <v>485</v>
      </c>
      <c r="U15" t="s">
        <v>244</v>
      </c>
      <c r="V15" t="s">
        <v>456</v>
      </c>
      <c r="BK15" t="s">
        <v>28</v>
      </c>
      <c r="BL15" t="s">
        <v>29</v>
      </c>
      <c r="BM15" t="s">
        <v>27</v>
      </c>
      <c r="BR15" s="339" t="str">
        <f t="shared" si="0"/>
        <v>Kyle Beta</v>
      </c>
      <c r="BS15" s="339" t="s">
        <v>544</v>
      </c>
      <c r="BT15" s="340">
        <v>44846.678726851853</v>
      </c>
      <c r="BU15" s="339">
        <v>969</v>
      </c>
      <c r="BV15" s="341">
        <v>23502</v>
      </c>
      <c r="BW15" s="341">
        <v>10785</v>
      </c>
      <c r="BX15" s="341">
        <v>-13158</v>
      </c>
      <c r="BY15" s="341">
        <v>-2373</v>
      </c>
      <c r="BZ15" s="339" t="s">
        <v>525</v>
      </c>
      <c r="CA15" s="339">
        <v>48</v>
      </c>
      <c r="CB15" s="339"/>
    </row>
    <row r="16" spans="3:93" ht="18">
      <c r="C16" s="251" t="str">
        <f t="shared" si="3"/>
        <v>pyr133</v>
      </c>
      <c r="D16" s="252" t="str">
        <f t="shared" si="4"/>
        <v>NebBaldwin</v>
      </c>
      <c r="E16" s="253" t="str">
        <f t="shared" si="5"/>
        <v>pyr121</v>
      </c>
      <c r="F16" s="254" t="str">
        <f t="shared" si="6"/>
        <v>Christian #4</v>
      </c>
      <c r="G16" s="255" t="str">
        <f t="shared" si="7"/>
        <v>pyr120</v>
      </c>
      <c r="H16" s="256" t="str">
        <f t="shared" si="8"/>
        <v>Garett Pool</v>
      </c>
      <c r="J16" s="322" t="str">
        <f t="shared" si="9"/>
        <v>pyr153</v>
      </c>
      <c r="K16" s="257" t="str">
        <f t="shared" si="10"/>
        <v>OPEN</v>
      </c>
      <c r="N16">
        <v>6</v>
      </c>
      <c r="O16" t="s">
        <v>49</v>
      </c>
      <c r="P16" t="s">
        <v>511</v>
      </c>
      <c r="Q16" t="s">
        <v>9</v>
      </c>
      <c r="R16" t="s">
        <v>105</v>
      </c>
      <c r="S16" t="s">
        <v>116</v>
      </c>
      <c r="T16" t="s">
        <v>117</v>
      </c>
      <c r="U16" t="s">
        <v>255</v>
      </c>
      <c r="V16" t="s">
        <v>456</v>
      </c>
      <c r="BK16" t="s">
        <v>69</v>
      </c>
      <c r="BL16" t="s">
        <v>509</v>
      </c>
      <c r="BM16" t="s">
        <v>40</v>
      </c>
      <c r="BR16" s="339" t="str">
        <f t="shared" si="0"/>
        <v>Mike Maxwell</v>
      </c>
      <c r="BS16" s="339" t="s">
        <v>546</v>
      </c>
      <c r="BT16" s="340">
        <v>44846.653564814813</v>
      </c>
      <c r="BU16" s="339">
        <v>225</v>
      </c>
      <c r="BV16" s="341">
        <v>21902</v>
      </c>
      <c r="BW16" s="341">
        <v>11376</v>
      </c>
      <c r="BX16" s="341">
        <v>-16486</v>
      </c>
      <c r="BY16" s="341">
        <v>-5109</v>
      </c>
      <c r="BZ16" s="339" t="s">
        <v>525</v>
      </c>
      <c r="CA16" s="339">
        <v>-100</v>
      </c>
      <c r="CB16" s="339"/>
    </row>
    <row r="17" spans="3:80" ht="18">
      <c r="C17" s="251" t="str">
        <f t="shared" si="3"/>
        <v>pyr141</v>
      </c>
      <c r="D17" s="252" t="str">
        <f t="shared" si="4"/>
        <v>Luc</v>
      </c>
      <c r="E17" s="253" t="str">
        <f t="shared" si="5"/>
        <v>pyr122</v>
      </c>
      <c r="F17" s="254" t="str">
        <f t="shared" si="6"/>
        <v>Christian #5</v>
      </c>
      <c r="G17" s="255" t="str">
        <f t="shared" si="7"/>
        <v>pyr124</v>
      </c>
      <c r="H17" s="256" t="str">
        <f t="shared" si="8"/>
        <v>Brian</v>
      </c>
      <c r="J17" s="322" t="str">
        <f t="shared" si="9"/>
        <v>pyr154</v>
      </c>
      <c r="K17" s="257" t="str">
        <f t="shared" si="10"/>
        <v>OPEN</v>
      </c>
      <c r="N17">
        <v>7</v>
      </c>
      <c r="O17" t="s">
        <v>130</v>
      </c>
      <c r="P17" t="s">
        <v>131</v>
      </c>
      <c r="Q17" t="s">
        <v>53</v>
      </c>
      <c r="R17" t="s">
        <v>123</v>
      </c>
      <c r="S17" t="s">
        <v>120</v>
      </c>
      <c r="T17" t="s">
        <v>450</v>
      </c>
      <c r="U17" t="s">
        <v>259</v>
      </c>
      <c r="V17" t="s">
        <v>456</v>
      </c>
      <c r="BK17" t="s">
        <v>7</v>
      </c>
      <c r="BL17" t="s">
        <v>461</v>
      </c>
      <c r="BM17" t="s">
        <v>27</v>
      </c>
      <c r="BR17" s="339" t="str">
        <f t="shared" si="0"/>
        <v>OPEN</v>
      </c>
      <c r="BS17" s="339" t="s">
        <v>388</v>
      </c>
      <c r="BT17" s="340">
        <v>44731.756863425922</v>
      </c>
      <c r="BU17" s="339">
        <v>0</v>
      </c>
      <c r="BV17" s="341">
        <v>21172</v>
      </c>
      <c r="BW17" s="341">
        <v>10745</v>
      </c>
      <c r="BX17" s="341">
        <v>-12345</v>
      </c>
      <c r="BY17" s="341">
        <v>-1601</v>
      </c>
      <c r="BZ17" s="339" t="s">
        <v>525</v>
      </c>
      <c r="CA17" s="339">
        <v>0</v>
      </c>
      <c r="CB17" s="339"/>
    </row>
    <row r="18" spans="3:80" ht="18">
      <c r="C18" s="251" t="str">
        <f t="shared" si="3"/>
        <v>pyr147</v>
      </c>
      <c r="D18" s="252" t="str">
        <f t="shared" si="4"/>
        <v>Jalen</v>
      </c>
      <c r="E18" s="253" t="str">
        <f t="shared" si="5"/>
        <v>pyr123</v>
      </c>
      <c r="F18" s="254" t="str">
        <f t="shared" si="6"/>
        <v>Christian #2</v>
      </c>
      <c r="G18" s="255" t="str">
        <f t="shared" si="7"/>
        <v>pyr126</v>
      </c>
      <c r="H18" s="256" t="str">
        <f t="shared" si="8"/>
        <v>Narter</v>
      </c>
      <c r="J18" s="322" t="str">
        <f t="shared" si="9"/>
        <v/>
      </c>
      <c r="K18" s="257" t="str">
        <f t="shared" si="10"/>
        <v/>
      </c>
      <c r="N18">
        <v>8</v>
      </c>
      <c r="O18" t="s">
        <v>222</v>
      </c>
      <c r="P18" t="s">
        <v>44</v>
      </c>
      <c r="Q18" t="s">
        <v>36</v>
      </c>
      <c r="R18" t="s">
        <v>37</v>
      </c>
      <c r="S18" t="s">
        <v>11</v>
      </c>
      <c r="T18" t="s">
        <v>466</v>
      </c>
      <c r="BK18" t="s">
        <v>224</v>
      </c>
      <c r="BL18" t="s">
        <v>510</v>
      </c>
      <c r="BM18" t="s">
        <v>40</v>
      </c>
      <c r="BR18" s="339" t="str">
        <f t="shared" si="0"/>
        <v>Jalen</v>
      </c>
      <c r="BS18" s="339" t="s">
        <v>374</v>
      </c>
      <c r="BT18" s="340">
        <v>44834.80740740741</v>
      </c>
      <c r="BU18" s="339">
        <v>0</v>
      </c>
      <c r="BV18" s="341">
        <v>19907</v>
      </c>
      <c r="BW18" s="341">
        <v>7804</v>
      </c>
      <c r="BX18" s="341">
        <v>-10179</v>
      </c>
      <c r="BY18" s="341">
        <v>-2375</v>
      </c>
      <c r="BZ18" s="339" t="s">
        <v>525</v>
      </c>
      <c r="CA18" s="339">
        <v>0</v>
      </c>
      <c r="CB18" s="339"/>
    </row>
    <row r="19" spans="3:80" ht="18">
      <c r="C19" s="251" t="str">
        <f t="shared" si="3"/>
        <v>pyr149</v>
      </c>
      <c r="D19" s="252" t="str">
        <f t="shared" si="4"/>
        <v>ike baldwin</v>
      </c>
      <c r="E19" s="253" t="str">
        <f t="shared" si="5"/>
        <v>pyr127</v>
      </c>
      <c r="F19" s="254" t="str">
        <f t="shared" si="6"/>
        <v>Will R</v>
      </c>
      <c r="G19" s="255" t="str">
        <f t="shared" si="7"/>
        <v>pyr128</v>
      </c>
      <c r="H19" s="256" t="str">
        <f t="shared" si="8"/>
        <v>TylerL</v>
      </c>
      <c r="J19" s="322" t="str">
        <f t="shared" si="9"/>
        <v/>
      </c>
      <c r="K19" s="257" t="str">
        <f t="shared" si="10"/>
        <v/>
      </c>
      <c r="N19">
        <v>9</v>
      </c>
      <c r="O19" t="s">
        <v>257</v>
      </c>
      <c r="P19" t="s">
        <v>258</v>
      </c>
      <c r="Q19" t="s">
        <v>63</v>
      </c>
      <c r="R19" t="s">
        <v>64</v>
      </c>
      <c r="S19" t="s">
        <v>71</v>
      </c>
      <c r="T19" t="s">
        <v>463</v>
      </c>
      <c r="BK19" t="s">
        <v>111</v>
      </c>
      <c r="BL19" t="s">
        <v>456</v>
      </c>
      <c r="BM19" t="s">
        <v>453</v>
      </c>
      <c r="BR19" s="339" t="str">
        <f t="shared" si="0"/>
        <v>Eric</v>
      </c>
      <c r="BS19" s="339" t="s">
        <v>543</v>
      </c>
      <c r="BT19" s="340">
        <v>44843.550370370373</v>
      </c>
      <c r="BU19" s="339">
        <v>400</v>
      </c>
      <c r="BV19" s="341">
        <v>19081</v>
      </c>
      <c r="BW19" s="341">
        <v>9438</v>
      </c>
      <c r="BX19" s="341">
        <v>-11320</v>
      </c>
      <c r="BY19" s="341">
        <v>-1882</v>
      </c>
      <c r="BZ19" s="339" t="s">
        <v>525</v>
      </c>
      <c r="CA19" s="339">
        <v>0</v>
      </c>
      <c r="CB19" s="339"/>
    </row>
    <row r="20" spans="3:80" ht="18">
      <c r="C20" s="251" t="str">
        <f t="shared" si="3"/>
        <v>pyr160</v>
      </c>
      <c r="D20" s="252" t="str">
        <f t="shared" si="4"/>
        <v>ColesAccount</v>
      </c>
      <c r="E20" s="253" t="str">
        <f t="shared" si="5"/>
        <v>pyr130</v>
      </c>
      <c r="F20" s="254" t="str">
        <f t="shared" si="6"/>
        <v>Christian # 3</v>
      </c>
      <c r="G20" s="255" t="str">
        <f t="shared" si="7"/>
        <v>pyr132</v>
      </c>
      <c r="H20" s="256" t="str">
        <f t="shared" si="8"/>
        <v>Connor</v>
      </c>
      <c r="J20" s="322" t="str">
        <f t="shared" si="9"/>
        <v/>
      </c>
      <c r="K20" s="257" t="str">
        <f t="shared" si="10"/>
        <v/>
      </c>
      <c r="N20">
        <v>10</v>
      </c>
      <c r="O20" t="s">
        <v>440</v>
      </c>
      <c r="P20" t="s">
        <v>477</v>
      </c>
      <c r="Q20" t="s">
        <v>81</v>
      </c>
      <c r="R20" t="s">
        <v>82</v>
      </c>
      <c r="S20" t="s">
        <v>38</v>
      </c>
      <c r="T20" t="s">
        <v>469</v>
      </c>
      <c r="BK20" t="s">
        <v>32</v>
      </c>
      <c r="BL20" t="s">
        <v>33</v>
      </c>
      <c r="BM20" t="s">
        <v>27</v>
      </c>
      <c r="BR20" s="339" t="str">
        <f t="shared" si="0"/>
        <v>Christian # 3</v>
      </c>
      <c r="BS20" s="339" t="s">
        <v>338</v>
      </c>
      <c r="BT20" s="340">
        <v>44844.678993055553</v>
      </c>
      <c r="BU20" s="339">
        <v>0</v>
      </c>
      <c r="BV20" s="341">
        <v>16573</v>
      </c>
      <c r="BW20" s="341">
        <v>6590</v>
      </c>
      <c r="BX20" s="341">
        <v>-9333</v>
      </c>
      <c r="BY20" s="341">
        <v>-2743</v>
      </c>
      <c r="BZ20" s="339" t="s">
        <v>525</v>
      </c>
      <c r="CA20" s="339">
        <v>45</v>
      </c>
      <c r="CB20" s="339"/>
    </row>
    <row r="21" spans="3:80" ht="18">
      <c r="C21" s="251" t="str">
        <f t="shared" si="3"/>
        <v>pyr163</v>
      </c>
      <c r="D21" s="252" t="str">
        <f t="shared" si="4"/>
        <v>USCGabe</v>
      </c>
      <c r="E21" s="253" t="str">
        <f t="shared" si="5"/>
        <v>pyr131</v>
      </c>
      <c r="F21" s="254" t="str">
        <f t="shared" si="6"/>
        <v>Sly</v>
      </c>
      <c r="G21" s="255" t="str">
        <f t="shared" si="7"/>
        <v>pyr134</v>
      </c>
      <c r="H21" s="256" t="str">
        <f t="shared" si="8"/>
        <v>Kevin</v>
      </c>
      <c r="J21" s="322" t="str">
        <f t="shared" si="9"/>
        <v/>
      </c>
      <c r="K21" s="257" t="str">
        <f t="shared" si="10"/>
        <v/>
      </c>
      <c r="N21">
        <v>11</v>
      </c>
      <c r="O21" t="s">
        <v>484</v>
      </c>
      <c r="P21" t="s">
        <v>486</v>
      </c>
      <c r="Q21" t="s">
        <v>13</v>
      </c>
      <c r="R21" t="s">
        <v>119</v>
      </c>
      <c r="S21" t="s">
        <v>19</v>
      </c>
      <c r="T21" t="s">
        <v>20</v>
      </c>
      <c r="BK21" t="s">
        <v>23</v>
      </c>
      <c r="BL21" t="s">
        <v>24</v>
      </c>
      <c r="BM21" t="s">
        <v>17</v>
      </c>
      <c r="BR21" s="339" t="str">
        <f t="shared" si="0"/>
        <v>GZ</v>
      </c>
      <c r="BS21" s="339" t="s">
        <v>526</v>
      </c>
      <c r="BT21" s="340">
        <v>44843.543078703704</v>
      </c>
      <c r="BU21" s="339">
        <v>0</v>
      </c>
      <c r="BV21" s="341">
        <v>15129</v>
      </c>
      <c r="BW21" s="341">
        <v>10014</v>
      </c>
      <c r="BX21" s="341">
        <v>-8499</v>
      </c>
      <c r="BY21" s="341">
        <v>1515</v>
      </c>
      <c r="BZ21" s="339" t="s">
        <v>525</v>
      </c>
      <c r="CA21" s="339">
        <v>0</v>
      </c>
      <c r="CB21" s="339"/>
    </row>
    <row r="22" spans="3:80" ht="18">
      <c r="C22" s="251" t="str">
        <f t="shared" si="3"/>
        <v/>
      </c>
      <c r="D22" s="252" t="str">
        <f t="shared" si="4"/>
        <v/>
      </c>
      <c r="E22" s="253" t="str">
        <f t="shared" si="5"/>
        <v>pyr150</v>
      </c>
      <c r="F22" s="254" t="str">
        <f t="shared" si="6"/>
        <v>Verlander</v>
      </c>
      <c r="G22" s="255" t="str">
        <f t="shared" si="7"/>
        <v>pyr136</v>
      </c>
      <c r="H22" s="256" t="str">
        <f t="shared" si="8"/>
        <v>Mark</v>
      </c>
      <c r="J22" s="322" t="str">
        <f t="shared" si="9"/>
        <v/>
      </c>
      <c r="K22" s="257" t="str">
        <f t="shared" si="10"/>
        <v/>
      </c>
      <c r="N22">
        <v>12</v>
      </c>
      <c r="Q22" t="s">
        <v>228</v>
      </c>
      <c r="R22" t="s">
        <v>470</v>
      </c>
      <c r="S22" t="s">
        <v>25</v>
      </c>
      <c r="T22" t="s">
        <v>26</v>
      </c>
      <c r="BK22" t="s">
        <v>113</v>
      </c>
      <c r="BL22" t="s">
        <v>114</v>
      </c>
      <c r="BM22" t="s">
        <v>40</v>
      </c>
      <c r="BR22" s="339" t="str">
        <f t="shared" si="0"/>
        <v>Christian</v>
      </c>
      <c r="BS22" s="339" t="s">
        <v>547</v>
      </c>
      <c r="BT22" s="340">
        <v>44845.499814814815</v>
      </c>
      <c r="BU22" s="339">
        <v>825</v>
      </c>
      <c r="BV22" s="341">
        <v>14778</v>
      </c>
      <c r="BW22" s="341">
        <v>5701</v>
      </c>
      <c r="BX22" s="341">
        <v>-10866</v>
      </c>
      <c r="BY22" s="341">
        <v>-5165</v>
      </c>
      <c r="BZ22" s="339" t="s">
        <v>525</v>
      </c>
      <c r="CA22" s="339">
        <v>-50</v>
      </c>
      <c r="CB22" s="339"/>
    </row>
    <row r="23" spans="3:80" ht="18">
      <c r="C23" s="251" t="str">
        <f t="shared" si="3"/>
        <v/>
      </c>
      <c r="D23" s="252" t="str">
        <f t="shared" si="4"/>
        <v/>
      </c>
      <c r="E23" s="253" t="str">
        <f t="shared" si="5"/>
        <v>pyr152</v>
      </c>
      <c r="F23" s="254" t="str">
        <f t="shared" si="6"/>
        <v>Tee</v>
      </c>
      <c r="G23" s="255" t="str">
        <f t="shared" si="7"/>
        <v>pyr137</v>
      </c>
      <c r="H23" s="256" t="str">
        <f t="shared" si="8"/>
        <v>Zach gartner</v>
      </c>
      <c r="J23" s="322" t="str">
        <f t="shared" si="9"/>
        <v/>
      </c>
      <c r="K23" s="257" t="str">
        <f t="shared" si="10"/>
        <v/>
      </c>
      <c r="N23">
        <v>13</v>
      </c>
      <c r="Q23" t="s">
        <v>246</v>
      </c>
      <c r="R23" t="s">
        <v>462</v>
      </c>
      <c r="S23" t="s">
        <v>67</v>
      </c>
      <c r="T23" t="s">
        <v>68</v>
      </c>
      <c r="BK23" t="s">
        <v>41</v>
      </c>
      <c r="BL23" t="s">
        <v>456</v>
      </c>
      <c r="BM23" t="s">
        <v>453</v>
      </c>
      <c r="BR23" s="339" t="str">
        <f t="shared" si="0"/>
        <v>Kevin Victory</v>
      </c>
      <c r="BS23" s="339" t="s">
        <v>527</v>
      </c>
      <c r="BT23" s="340">
        <v>44845.458726851852</v>
      </c>
      <c r="BU23" s="339">
        <v>605</v>
      </c>
      <c r="BV23" s="341">
        <v>13268</v>
      </c>
      <c r="BW23" s="341">
        <v>7674</v>
      </c>
      <c r="BX23" s="341">
        <v>-6620</v>
      </c>
      <c r="BY23" s="341">
        <v>1054</v>
      </c>
      <c r="BZ23" s="339" t="s">
        <v>525</v>
      </c>
      <c r="CA23" s="339">
        <v>-26</v>
      </c>
      <c r="CB23" s="339"/>
    </row>
    <row r="24" spans="3:80" ht="18">
      <c r="C24" s="251" t="str">
        <f t="shared" si="3"/>
        <v/>
      </c>
      <c r="D24" s="252" t="str">
        <f t="shared" si="4"/>
        <v/>
      </c>
      <c r="E24" s="253" t="str">
        <f t="shared" si="5"/>
        <v>pyr157</v>
      </c>
      <c r="F24" s="254" t="str">
        <f t="shared" si="6"/>
        <v>Chris</v>
      </c>
      <c r="G24" s="255" t="str">
        <f t="shared" si="7"/>
        <v>pyr138</v>
      </c>
      <c r="H24" s="256" t="str">
        <f t="shared" si="8"/>
        <v>Kaz</v>
      </c>
      <c r="J24" s="322" t="str">
        <f t="shared" si="9"/>
        <v/>
      </c>
      <c r="K24" s="257" t="str">
        <f t="shared" si="10"/>
        <v/>
      </c>
      <c r="N24">
        <v>14</v>
      </c>
      <c r="Q24" t="s">
        <v>262</v>
      </c>
      <c r="R24" t="s">
        <v>263</v>
      </c>
      <c r="S24" t="s">
        <v>109</v>
      </c>
      <c r="T24" t="s">
        <v>110</v>
      </c>
      <c r="BK24" t="s">
        <v>34</v>
      </c>
      <c r="BL24" t="s">
        <v>35</v>
      </c>
      <c r="BM24" t="s">
        <v>27</v>
      </c>
      <c r="BR24" s="339" t="str">
        <f t="shared" si="0"/>
        <v>Christian #5</v>
      </c>
      <c r="BS24" s="339" t="s">
        <v>323</v>
      </c>
      <c r="BT24" s="340">
        <v>44819.494606481479</v>
      </c>
      <c r="BU24" s="339">
        <v>0</v>
      </c>
      <c r="BV24" s="341">
        <v>12692</v>
      </c>
      <c r="BW24" s="341">
        <v>6046</v>
      </c>
      <c r="BX24" s="341">
        <v>-8538</v>
      </c>
      <c r="BY24" s="341">
        <v>-2492</v>
      </c>
      <c r="BZ24" s="339" t="s">
        <v>525</v>
      </c>
      <c r="CA24" s="339">
        <v>0</v>
      </c>
      <c r="CB24" s="339"/>
    </row>
    <row r="25" spans="3:80" ht="18">
      <c r="C25" s="251" t="str">
        <f t="shared" si="3"/>
        <v/>
      </c>
      <c r="D25" s="252" t="str">
        <f t="shared" si="4"/>
        <v/>
      </c>
      <c r="E25" s="253" t="str">
        <f t="shared" si="5"/>
        <v>pyr165</v>
      </c>
      <c r="F25" s="254" t="str">
        <f t="shared" si="6"/>
        <v>CPeters</v>
      </c>
      <c r="G25" s="255" t="str">
        <f t="shared" si="7"/>
        <v>pyr139</v>
      </c>
      <c r="H25" s="256" t="str">
        <f t="shared" si="8"/>
        <v>Quees</v>
      </c>
      <c r="J25" s="322" t="str">
        <f t="shared" si="9"/>
        <v/>
      </c>
      <c r="K25" s="257" t="str">
        <f t="shared" si="10"/>
        <v/>
      </c>
      <c r="N25">
        <v>15</v>
      </c>
      <c r="Q25" t="s">
        <v>500</v>
      </c>
      <c r="R25" t="s">
        <v>501</v>
      </c>
      <c r="S25" t="s">
        <v>15</v>
      </c>
      <c r="T25" t="s">
        <v>465</v>
      </c>
      <c r="BK25" t="s">
        <v>57</v>
      </c>
      <c r="BL25" t="s">
        <v>485</v>
      </c>
      <c r="BM25" t="s">
        <v>17</v>
      </c>
      <c r="BR25" s="339" t="str">
        <f t="shared" si="0"/>
        <v>Pat</v>
      </c>
      <c r="BS25" s="339" t="s">
        <v>360</v>
      </c>
      <c r="BT25" s="340">
        <v>44846.326377314814</v>
      </c>
      <c r="BU25" s="341">
        <v>1073</v>
      </c>
      <c r="BV25" s="341">
        <v>12653</v>
      </c>
      <c r="BW25" s="341">
        <v>6127</v>
      </c>
      <c r="BX25" s="341">
        <v>-6368</v>
      </c>
      <c r="BY25" s="339">
        <v>-241</v>
      </c>
      <c r="BZ25" s="339" t="s">
        <v>525</v>
      </c>
      <c r="CA25" s="339">
        <v>-40</v>
      </c>
      <c r="CB25" s="339"/>
    </row>
    <row r="26" spans="3:80" ht="18">
      <c r="C26" s="251" t="str">
        <f t="shared" si="3"/>
        <v/>
      </c>
      <c r="D26" s="252" t="str">
        <f t="shared" si="4"/>
        <v/>
      </c>
      <c r="E26" s="253" t="str">
        <f t="shared" si="5"/>
        <v>pyr167</v>
      </c>
      <c r="F26" s="254" t="str">
        <f t="shared" si="6"/>
        <v>GZ</v>
      </c>
      <c r="G26" s="255" t="str">
        <f t="shared" si="7"/>
        <v>pyr140</v>
      </c>
      <c r="H26" s="256" t="str">
        <f t="shared" si="8"/>
        <v>Pat</v>
      </c>
      <c r="J26" s="322" t="str">
        <f t="shared" si="9"/>
        <v/>
      </c>
      <c r="K26" s="257" t="str">
        <f t="shared" si="10"/>
        <v/>
      </c>
      <c r="N26">
        <v>16</v>
      </c>
      <c r="Q26" t="s">
        <v>504</v>
      </c>
      <c r="R26" t="s">
        <v>505</v>
      </c>
      <c r="S26" t="s">
        <v>59</v>
      </c>
      <c r="T26" t="s">
        <v>104</v>
      </c>
      <c r="BK26" t="s">
        <v>116</v>
      </c>
      <c r="BL26" t="s">
        <v>117</v>
      </c>
      <c r="BM26" t="s">
        <v>17</v>
      </c>
      <c r="BR26" s="339" t="str">
        <f t="shared" si="0"/>
        <v>Kevin</v>
      </c>
      <c r="BS26" s="339" t="s">
        <v>347</v>
      </c>
      <c r="BT26" s="340">
        <v>44846.850127314814</v>
      </c>
      <c r="BU26" s="339">
        <v>98</v>
      </c>
      <c r="BV26" s="341">
        <v>12484</v>
      </c>
      <c r="BW26" s="341">
        <v>6065</v>
      </c>
      <c r="BX26" s="341">
        <v>-7542</v>
      </c>
      <c r="BY26" s="341">
        <v>-1477</v>
      </c>
      <c r="BZ26" s="339" t="s">
        <v>525</v>
      </c>
      <c r="CA26" s="339">
        <v>-16</v>
      </c>
      <c r="CB26" s="339"/>
    </row>
    <row r="27" spans="3:80" ht="18">
      <c r="C27" s="251" t="str">
        <f t="shared" si="3"/>
        <v/>
      </c>
      <c r="D27" s="252" t="str">
        <f t="shared" si="4"/>
        <v/>
      </c>
      <c r="E27" s="253" t="str">
        <f t="shared" si="5"/>
        <v/>
      </c>
      <c r="F27" s="254" t="str">
        <f t="shared" si="6"/>
        <v/>
      </c>
      <c r="G27" s="255" t="str">
        <f t="shared" si="7"/>
        <v>pyr143</v>
      </c>
      <c r="H27" s="256" t="str">
        <f t="shared" si="8"/>
        <v>Cary</v>
      </c>
      <c r="J27" s="322" t="str">
        <f t="shared" si="9"/>
        <v/>
      </c>
      <c r="K27" s="257" t="str">
        <f t="shared" si="10"/>
        <v/>
      </c>
      <c r="N27">
        <v>17</v>
      </c>
      <c r="S27" t="s">
        <v>128</v>
      </c>
      <c r="T27" t="s">
        <v>250</v>
      </c>
      <c r="BK27" t="s">
        <v>9</v>
      </c>
      <c r="BL27" t="s">
        <v>105</v>
      </c>
      <c r="BM27" t="s">
        <v>27</v>
      </c>
      <c r="BR27" s="339" t="str">
        <f t="shared" si="0"/>
        <v>Christian #4</v>
      </c>
      <c r="BS27" s="339" t="s">
        <v>321</v>
      </c>
      <c r="BT27" s="340">
        <v>44846.692835648151</v>
      </c>
      <c r="BU27" s="339">
        <v>0</v>
      </c>
      <c r="BV27" s="341">
        <v>11342</v>
      </c>
      <c r="BW27" s="341">
        <v>5417</v>
      </c>
      <c r="BX27" s="341">
        <v>-7111</v>
      </c>
      <c r="BY27" s="341">
        <v>-1694</v>
      </c>
      <c r="BZ27" s="339" t="s">
        <v>525</v>
      </c>
      <c r="CA27" s="339">
        <v>-139</v>
      </c>
      <c r="CB27" s="339"/>
    </row>
    <row r="28" spans="3:80" ht="18">
      <c r="C28" s="251" t="str">
        <f t="shared" si="3"/>
        <v/>
      </c>
      <c r="D28" s="252" t="str">
        <f t="shared" si="4"/>
        <v/>
      </c>
      <c r="E28" s="253" t="str">
        <f t="shared" si="5"/>
        <v/>
      </c>
      <c r="F28" s="254" t="str">
        <f t="shared" si="6"/>
        <v/>
      </c>
      <c r="G28" s="255" t="str">
        <f t="shared" si="7"/>
        <v>pyr144</v>
      </c>
      <c r="H28" s="256" t="str">
        <f t="shared" si="8"/>
        <v>DylanB</v>
      </c>
      <c r="J28" s="322" t="str">
        <f t="shared" si="9"/>
        <v/>
      </c>
      <c r="K28" s="257" t="str">
        <f t="shared" si="10"/>
        <v/>
      </c>
      <c r="N28">
        <v>18</v>
      </c>
      <c r="S28" t="s">
        <v>132</v>
      </c>
      <c r="T28" t="s">
        <v>464</v>
      </c>
      <c r="BK28" t="s">
        <v>53</v>
      </c>
      <c r="BL28" t="s">
        <v>123</v>
      </c>
      <c r="BM28" t="s">
        <v>27</v>
      </c>
      <c r="BR28" s="339" t="str">
        <f t="shared" si="0"/>
        <v>Christian #2</v>
      </c>
      <c r="BS28" s="339" t="s">
        <v>325</v>
      </c>
      <c r="BT28" s="340">
        <v>44820.740833333337</v>
      </c>
      <c r="BU28" s="339">
        <v>200</v>
      </c>
      <c r="BV28" s="341">
        <v>11080</v>
      </c>
      <c r="BW28" s="341">
        <v>5313</v>
      </c>
      <c r="BX28" s="341">
        <v>-7708</v>
      </c>
      <c r="BY28" s="341">
        <v>-2395</v>
      </c>
      <c r="BZ28" s="339" t="s">
        <v>525</v>
      </c>
      <c r="CA28" s="339">
        <v>0</v>
      </c>
      <c r="CB28" s="339"/>
    </row>
    <row r="29" spans="3:80" ht="18">
      <c r="C29" s="251" t="str">
        <f t="shared" si="3"/>
        <v/>
      </c>
      <c r="D29" s="252" t="str">
        <f t="shared" si="4"/>
        <v/>
      </c>
      <c r="E29" s="253" t="str">
        <f t="shared" si="5"/>
        <v/>
      </c>
      <c r="F29" s="254" t="str">
        <f t="shared" si="6"/>
        <v/>
      </c>
      <c r="G29" s="255" t="str">
        <f t="shared" si="7"/>
        <v>pyr145</v>
      </c>
      <c r="H29" s="256" t="str">
        <f t="shared" si="8"/>
        <v>Luther</v>
      </c>
      <c r="J29" s="322" t="str">
        <f t="shared" si="9"/>
        <v/>
      </c>
      <c r="K29" s="257" t="str">
        <f t="shared" si="10"/>
        <v/>
      </c>
      <c r="N29">
        <v>19</v>
      </c>
      <c r="S29" t="s">
        <v>226</v>
      </c>
      <c r="T29" t="s">
        <v>467</v>
      </c>
      <c r="BK29" t="s">
        <v>36</v>
      </c>
      <c r="BL29" t="s">
        <v>37</v>
      </c>
      <c r="BM29" t="s">
        <v>27</v>
      </c>
      <c r="BR29" s="339" t="str">
        <f t="shared" si="0"/>
        <v>Zach gartner</v>
      </c>
      <c r="BS29" s="339" t="s">
        <v>353</v>
      </c>
      <c r="BT29" s="340">
        <v>44846.77616898148</v>
      </c>
      <c r="BU29" s="339">
        <v>341</v>
      </c>
      <c r="BV29" s="341">
        <v>11010</v>
      </c>
      <c r="BW29" s="341">
        <v>5562</v>
      </c>
      <c r="BX29" s="341">
        <v>-5158</v>
      </c>
      <c r="BY29" s="339">
        <v>404</v>
      </c>
      <c r="BZ29" s="339" t="s">
        <v>525</v>
      </c>
      <c r="CA29" s="339">
        <v>96</v>
      </c>
      <c r="CB29" s="339"/>
    </row>
    <row r="30" spans="3:80" ht="18">
      <c r="C30" s="251" t="str">
        <f t="shared" si="3"/>
        <v/>
      </c>
      <c r="D30" s="252" t="str">
        <f t="shared" si="4"/>
        <v/>
      </c>
      <c r="E30" s="253" t="str">
        <f t="shared" si="5"/>
        <v/>
      </c>
      <c r="F30" s="254" t="str">
        <f t="shared" si="6"/>
        <v/>
      </c>
      <c r="G30" s="255" t="str">
        <f t="shared" si="7"/>
        <v>pyr146</v>
      </c>
      <c r="H30" s="256" t="str">
        <f t="shared" si="8"/>
        <v>Keenan Tims boy</v>
      </c>
      <c r="J30" s="322" t="str">
        <f t="shared" si="9"/>
        <v/>
      </c>
      <c r="K30" s="257" t="str">
        <f t="shared" si="10"/>
        <v/>
      </c>
      <c r="N30">
        <v>20</v>
      </c>
      <c r="S30" t="s">
        <v>221</v>
      </c>
      <c r="T30" t="s">
        <v>230</v>
      </c>
      <c r="BK30" t="s">
        <v>120</v>
      </c>
      <c r="BL30" t="s">
        <v>450</v>
      </c>
      <c r="BM30" t="s">
        <v>17</v>
      </c>
      <c r="BR30" s="339" t="str">
        <f t="shared" si="0"/>
        <v>Christian #1</v>
      </c>
      <c r="BS30" s="339" t="s">
        <v>542</v>
      </c>
      <c r="BT30" s="340">
        <v>44843.380601851852</v>
      </c>
      <c r="BU30" s="339">
        <v>175</v>
      </c>
      <c r="BV30" s="341">
        <v>10819</v>
      </c>
      <c r="BW30" s="341">
        <v>5514</v>
      </c>
      <c r="BX30" s="341">
        <v>-6315</v>
      </c>
      <c r="BY30" s="339">
        <v>-801</v>
      </c>
      <c r="BZ30" s="339" t="s">
        <v>525</v>
      </c>
      <c r="CA30" s="339">
        <v>0</v>
      </c>
      <c r="CB30" s="339"/>
    </row>
    <row r="31" spans="3:80" ht="18">
      <c r="C31" s="251" t="str">
        <f t="shared" si="3"/>
        <v/>
      </c>
      <c r="D31" s="252" t="str">
        <f t="shared" si="4"/>
        <v/>
      </c>
      <c r="E31" s="253" t="str">
        <f t="shared" si="5"/>
        <v/>
      </c>
      <c r="F31" s="254" t="str">
        <f t="shared" si="6"/>
        <v/>
      </c>
      <c r="G31" s="255" t="str">
        <f t="shared" si="7"/>
        <v>pyr148</v>
      </c>
      <c r="H31" s="256" t="str">
        <f t="shared" si="8"/>
        <v>Nico S</v>
      </c>
      <c r="J31" s="322" t="str">
        <f t="shared" si="9"/>
        <v/>
      </c>
      <c r="K31" s="257" t="str">
        <f t="shared" si="10"/>
        <v/>
      </c>
      <c r="N31">
        <v>21</v>
      </c>
      <c r="S31" t="s">
        <v>223</v>
      </c>
      <c r="T31" t="s">
        <v>471</v>
      </c>
      <c r="BK31" t="s">
        <v>47</v>
      </c>
      <c r="BL31" t="s">
        <v>229</v>
      </c>
      <c r="BM31" t="s">
        <v>40</v>
      </c>
      <c r="BR31" s="339" t="str">
        <f t="shared" si="0"/>
        <v>Tommy</v>
      </c>
      <c r="BS31" s="339" t="s">
        <v>530</v>
      </c>
      <c r="BT31" s="340">
        <v>44846.538865740738</v>
      </c>
      <c r="BU31" s="341">
        <v>1280</v>
      </c>
      <c r="BV31" s="341">
        <v>10535</v>
      </c>
      <c r="BW31" s="341">
        <v>5435</v>
      </c>
      <c r="BX31" s="341">
        <v>-5407</v>
      </c>
      <c r="BY31" s="339">
        <v>28</v>
      </c>
      <c r="BZ31" s="339" t="s">
        <v>525</v>
      </c>
      <c r="CA31" s="339">
        <v>-30</v>
      </c>
      <c r="CB31" s="339"/>
    </row>
    <row r="32" spans="3:80" ht="18">
      <c r="C32" s="251" t="str">
        <f t="shared" si="3"/>
        <v/>
      </c>
      <c r="D32" s="252" t="str">
        <f t="shared" si="4"/>
        <v/>
      </c>
      <c r="E32" s="253" t="str">
        <f t="shared" si="5"/>
        <v/>
      </c>
      <c r="F32" s="254" t="str">
        <f t="shared" si="6"/>
        <v/>
      </c>
      <c r="G32" s="255" t="str">
        <f t="shared" si="7"/>
        <v>pyr155</v>
      </c>
      <c r="H32" s="256" t="str">
        <f t="shared" si="8"/>
        <v>Tyler</v>
      </c>
      <c r="J32" s="322" t="str">
        <f t="shared" si="9"/>
        <v/>
      </c>
      <c r="K32" s="257" t="str">
        <f t="shared" si="10"/>
        <v/>
      </c>
      <c r="N32">
        <v>22</v>
      </c>
      <c r="S32" t="s">
        <v>251</v>
      </c>
      <c r="T32" t="s">
        <v>252</v>
      </c>
      <c r="BK32" t="s">
        <v>11</v>
      </c>
      <c r="BL32" t="s">
        <v>466</v>
      </c>
      <c r="BM32" t="s">
        <v>17</v>
      </c>
      <c r="BR32" s="339" t="str">
        <f t="shared" si="0"/>
        <v>Jacob</v>
      </c>
      <c r="BS32" s="339" t="s">
        <v>545</v>
      </c>
      <c r="BT32" s="340">
        <v>44835.230833333335</v>
      </c>
      <c r="BU32" s="339">
        <v>0</v>
      </c>
      <c r="BV32" s="341">
        <v>10069</v>
      </c>
      <c r="BW32" s="341">
        <v>2524</v>
      </c>
      <c r="BX32" s="341">
        <v>-6523</v>
      </c>
      <c r="BY32" s="341">
        <v>-3999</v>
      </c>
      <c r="BZ32" s="339" t="s">
        <v>525</v>
      </c>
      <c r="CA32" s="339">
        <v>0</v>
      </c>
      <c r="CB32" s="339"/>
    </row>
    <row r="33" spans="3:80" ht="18">
      <c r="C33" s="251" t="str">
        <f t="shared" si="3"/>
        <v/>
      </c>
      <c r="D33" s="252" t="str">
        <f t="shared" si="4"/>
        <v/>
      </c>
      <c r="E33" s="253" t="str">
        <f t="shared" si="5"/>
        <v/>
      </c>
      <c r="F33" s="254" t="str">
        <f t="shared" si="6"/>
        <v/>
      </c>
      <c r="G33" s="255" t="str">
        <f t="shared" si="7"/>
        <v>pyr156</v>
      </c>
      <c r="H33" s="256" t="str">
        <f t="shared" si="8"/>
        <v>Quentin</v>
      </c>
      <c r="J33" s="322" t="str">
        <f t="shared" si="9"/>
        <v/>
      </c>
      <c r="K33" s="257" t="str">
        <f t="shared" si="10"/>
        <v/>
      </c>
      <c r="N33">
        <v>23</v>
      </c>
      <c r="S33" t="s">
        <v>253</v>
      </c>
      <c r="T33" t="s">
        <v>254</v>
      </c>
      <c r="BK33" t="s">
        <v>63</v>
      </c>
      <c r="BL33" t="s">
        <v>64</v>
      </c>
      <c r="BM33" t="s">
        <v>27</v>
      </c>
      <c r="BR33" s="339" t="str">
        <f t="shared" si="0"/>
        <v>Brian</v>
      </c>
      <c r="BS33" s="339" t="s">
        <v>327</v>
      </c>
      <c r="BT33" s="340">
        <v>44843.69599537037</v>
      </c>
      <c r="BU33" s="339">
        <v>0</v>
      </c>
      <c r="BV33" s="341">
        <v>8791</v>
      </c>
      <c r="BW33" s="341">
        <v>3640</v>
      </c>
      <c r="BX33" s="341">
        <v>-5022</v>
      </c>
      <c r="BY33" s="341">
        <v>-1382</v>
      </c>
      <c r="BZ33" s="339" t="s">
        <v>525</v>
      </c>
      <c r="CA33" s="339">
        <v>0</v>
      </c>
      <c r="CB33" s="339"/>
    </row>
    <row r="34" spans="3:80" ht="18">
      <c r="C34" s="251" t="str">
        <f t="shared" si="3"/>
        <v/>
      </c>
      <c r="D34" s="252" t="str">
        <f t="shared" si="4"/>
        <v/>
      </c>
      <c r="E34" s="253" t="str">
        <f t="shared" si="5"/>
        <v/>
      </c>
      <c r="F34" s="254" t="str">
        <f t="shared" si="6"/>
        <v/>
      </c>
      <c r="G34" s="255" t="str">
        <f t="shared" si="7"/>
        <v>pyr158</v>
      </c>
      <c r="H34" s="256" t="str">
        <f t="shared" si="8"/>
        <v>Pardo</v>
      </c>
      <c r="J34" s="322" t="str">
        <f t="shared" si="9"/>
        <v/>
      </c>
      <c r="K34" s="257" t="str">
        <f t="shared" si="10"/>
        <v/>
      </c>
      <c r="N34">
        <v>24</v>
      </c>
      <c r="S34" t="s">
        <v>457</v>
      </c>
      <c r="T34" t="s">
        <v>483</v>
      </c>
      <c r="BK34" t="s">
        <v>71</v>
      </c>
      <c r="BL34" t="s">
        <v>463</v>
      </c>
      <c r="BM34" t="s">
        <v>17</v>
      </c>
      <c r="BR34" s="339" t="str">
        <f t="shared" si="0"/>
        <v>CPeters</v>
      </c>
      <c r="BS34" s="339" t="s">
        <v>538</v>
      </c>
      <c r="BT34" s="340">
        <v>44835.735949074071</v>
      </c>
      <c r="BU34" s="339">
        <v>0</v>
      </c>
      <c r="BV34" s="341">
        <v>7605</v>
      </c>
      <c r="BW34" s="341">
        <v>3600</v>
      </c>
      <c r="BX34" s="341">
        <v>-3961</v>
      </c>
      <c r="BY34" s="339">
        <v>-361</v>
      </c>
      <c r="BZ34" s="339" t="s">
        <v>525</v>
      </c>
      <c r="CA34" s="339">
        <v>0</v>
      </c>
      <c r="CB34" s="339"/>
    </row>
    <row r="35" spans="3:80" ht="18">
      <c r="C35" s="251" t="str">
        <f t="shared" si="3"/>
        <v/>
      </c>
      <c r="D35" s="252" t="str">
        <f t="shared" si="4"/>
        <v/>
      </c>
      <c r="E35" s="253" t="str">
        <f t="shared" si="5"/>
        <v/>
      </c>
      <c r="F35" s="254" t="str">
        <f t="shared" si="6"/>
        <v/>
      </c>
      <c r="G35" s="255" t="str">
        <f t="shared" si="7"/>
        <v>pyr159</v>
      </c>
      <c r="H35" s="256" t="str">
        <f t="shared" si="8"/>
        <v>DaveTimsboy</v>
      </c>
      <c r="J35" s="322" t="str">
        <f t="shared" si="9"/>
        <v/>
      </c>
      <c r="K35" s="257" t="str">
        <f t="shared" si="10"/>
        <v/>
      </c>
      <c r="N35">
        <v>25</v>
      </c>
      <c r="S35" t="s">
        <v>451</v>
      </c>
      <c r="T35" t="s">
        <v>452</v>
      </c>
      <c r="BK35" t="s">
        <v>65</v>
      </c>
      <c r="BL35" t="s">
        <v>66</v>
      </c>
      <c r="BM35" t="s">
        <v>40</v>
      </c>
      <c r="BR35" s="339" t="str">
        <f t="shared" si="0"/>
        <v>Mark</v>
      </c>
      <c r="BS35" s="339" t="s">
        <v>351</v>
      </c>
      <c r="BT35" s="340">
        <v>44845.497986111113</v>
      </c>
      <c r="BU35" s="339">
        <v>0</v>
      </c>
      <c r="BV35" s="341">
        <v>6112</v>
      </c>
      <c r="BW35" s="341">
        <v>3119</v>
      </c>
      <c r="BX35" s="341">
        <v>-4088</v>
      </c>
      <c r="BY35" s="339">
        <v>-969</v>
      </c>
      <c r="BZ35" s="339" t="s">
        <v>525</v>
      </c>
      <c r="CA35" s="339">
        <v>-500</v>
      </c>
      <c r="CB35" s="339"/>
    </row>
    <row r="36" spans="3:80" ht="18">
      <c r="C36" s="251" t="str">
        <f t="shared" si="3"/>
        <v/>
      </c>
      <c r="D36" s="252" t="str">
        <f t="shared" si="4"/>
        <v/>
      </c>
      <c r="E36" s="253" t="str">
        <f t="shared" si="5"/>
        <v/>
      </c>
      <c r="F36" s="254" t="str">
        <f t="shared" si="6"/>
        <v/>
      </c>
      <c r="G36" s="255" t="str">
        <f t="shared" si="7"/>
        <v>pyr161</v>
      </c>
      <c r="H36" s="256" t="str">
        <f t="shared" si="8"/>
        <v>Carl</v>
      </c>
      <c r="J36" s="322" t="str">
        <f t="shared" si="9"/>
        <v/>
      </c>
      <c r="K36" s="257" t="str">
        <f t="shared" si="10"/>
        <v/>
      </c>
      <c r="N36">
        <v>26</v>
      </c>
      <c r="S36" t="s">
        <v>487</v>
      </c>
      <c r="T36" t="s">
        <v>488</v>
      </c>
      <c r="BK36" t="s">
        <v>81</v>
      </c>
      <c r="BL36" t="s">
        <v>82</v>
      </c>
      <c r="BM36" t="s">
        <v>27</v>
      </c>
      <c r="BR36" s="339" t="str">
        <f t="shared" si="0"/>
        <v>Tyler</v>
      </c>
      <c r="BS36" s="339" t="s">
        <v>389</v>
      </c>
      <c r="BT36" s="340">
        <v>44844.656712962962</v>
      </c>
      <c r="BU36" s="339">
        <v>160</v>
      </c>
      <c r="BV36" s="341">
        <v>5125</v>
      </c>
      <c r="BW36" s="341">
        <v>1874</v>
      </c>
      <c r="BX36" s="341">
        <v>-3094</v>
      </c>
      <c r="BY36" s="341">
        <v>-1220</v>
      </c>
      <c r="BZ36" s="339" t="s">
        <v>525</v>
      </c>
      <c r="CA36" s="339">
        <v>4</v>
      </c>
      <c r="CB36" s="339"/>
    </row>
    <row r="37" spans="3:80" ht="18">
      <c r="C37" s="251" t="str">
        <f t="shared" si="3"/>
        <v/>
      </c>
      <c r="D37" s="252" t="str">
        <f t="shared" si="4"/>
        <v/>
      </c>
      <c r="E37" s="253" t="str">
        <f t="shared" si="5"/>
        <v/>
      </c>
      <c r="F37" s="254" t="str">
        <f t="shared" si="6"/>
        <v/>
      </c>
      <c r="G37" s="255" t="str">
        <f t="shared" si="7"/>
        <v>pyr164</v>
      </c>
      <c r="H37" s="256" t="str">
        <f t="shared" si="8"/>
        <v>Jacob</v>
      </c>
      <c r="J37" s="322" t="str">
        <f t="shared" si="9"/>
        <v/>
      </c>
      <c r="K37" s="257" t="str">
        <f t="shared" si="10"/>
        <v/>
      </c>
      <c r="N37">
        <v>27</v>
      </c>
      <c r="S37" t="s">
        <v>498</v>
      </c>
      <c r="T37" t="s">
        <v>499</v>
      </c>
      <c r="BK37" t="s">
        <v>13</v>
      </c>
      <c r="BL37" t="s">
        <v>456</v>
      </c>
      <c r="BM37" t="s">
        <v>453</v>
      </c>
      <c r="BR37" s="339" t="str">
        <f t="shared" si="0"/>
        <v>Verlander</v>
      </c>
      <c r="BS37" s="339" t="s">
        <v>380</v>
      </c>
      <c r="BT37" s="340">
        <v>44839.387870370374</v>
      </c>
      <c r="BU37" s="339">
        <v>0</v>
      </c>
      <c r="BV37" s="341">
        <v>4778</v>
      </c>
      <c r="BW37" s="341">
        <v>2379</v>
      </c>
      <c r="BX37" s="341">
        <v>-3824</v>
      </c>
      <c r="BY37" s="341">
        <v>-1446</v>
      </c>
      <c r="BZ37" s="339" t="s">
        <v>525</v>
      </c>
      <c r="CA37" s="339">
        <v>0</v>
      </c>
      <c r="CB37" s="339"/>
    </row>
    <row r="38" spans="3:80" ht="18">
      <c r="C38" s="251" t="str">
        <f t="shared" si="3"/>
        <v/>
      </c>
      <c r="D38" s="252" t="str">
        <f t="shared" si="4"/>
        <v/>
      </c>
      <c r="E38" s="253" t="str">
        <f t="shared" si="5"/>
        <v/>
      </c>
      <c r="F38" s="254" t="str">
        <f t="shared" si="6"/>
        <v/>
      </c>
      <c r="G38" s="255"/>
      <c r="H38" s="256"/>
      <c r="J38" s="322" t="str">
        <f t="shared" si="9"/>
        <v/>
      </c>
      <c r="K38" s="257" t="str">
        <f t="shared" si="10"/>
        <v/>
      </c>
      <c r="N38">
        <v>28</v>
      </c>
      <c r="S38" t="s">
        <v>502</v>
      </c>
      <c r="T38" t="s">
        <v>503</v>
      </c>
      <c r="BK38" t="s">
        <v>38</v>
      </c>
      <c r="BL38" t="s">
        <v>469</v>
      </c>
      <c r="BM38" t="s">
        <v>17</v>
      </c>
      <c r="BR38" s="339" t="str">
        <f t="shared" ref="BR38:BR64" si="11">VLOOKUP(BS38,$BK$7:$BL$74,2)</f>
        <v>DT</v>
      </c>
      <c r="BS38" s="339" t="s">
        <v>528</v>
      </c>
      <c r="BT38" s="340">
        <v>44845.658333333333</v>
      </c>
      <c r="BU38" s="339">
        <v>0</v>
      </c>
      <c r="BV38" s="341">
        <v>3738</v>
      </c>
      <c r="BW38" s="341">
        <v>2192</v>
      </c>
      <c r="BX38" s="341">
        <v>-1184</v>
      </c>
      <c r="BY38" s="341">
        <v>1008</v>
      </c>
      <c r="BZ38" s="339" t="s">
        <v>525</v>
      </c>
      <c r="CA38" s="339">
        <v>225</v>
      </c>
      <c r="CB38" s="339"/>
    </row>
    <row r="39" spans="3:80" ht="18">
      <c r="C39" s="251" t="str">
        <f t="shared" si="3"/>
        <v/>
      </c>
      <c r="D39" s="252" t="str">
        <f t="shared" si="4"/>
        <v/>
      </c>
      <c r="E39" s="253" t="str">
        <f t="shared" si="5"/>
        <v/>
      </c>
      <c r="F39" s="254" t="str">
        <f t="shared" si="6"/>
        <v/>
      </c>
      <c r="G39" s="255" t="str">
        <f t="shared" si="7"/>
        <v/>
      </c>
      <c r="H39" s="256" t="str">
        <f t="shared" si="8"/>
        <v/>
      </c>
      <c r="J39" s="322" t="str">
        <f t="shared" si="9"/>
        <v/>
      </c>
      <c r="K39" s="257" t="str">
        <f t="shared" si="10"/>
        <v/>
      </c>
      <c r="BK39" t="s">
        <v>49</v>
      </c>
      <c r="BL39" t="s">
        <v>511</v>
      </c>
      <c r="BM39" t="s">
        <v>40</v>
      </c>
      <c r="BR39" s="339" t="str">
        <f t="shared" si="11"/>
        <v>Luther</v>
      </c>
      <c r="BS39" s="339" t="s">
        <v>370</v>
      </c>
      <c r="BT39" s="340">
        <v>44843.522453703707</v>
      </c>
      <c r="BU39" s="339">
        <v>0</v>
      </c>
      <c r="BV39" s="341">
        <v>3636</v>
      </c>
      <c r="BW39" s="341">
        <v>1735</v>
      </c>
      <c r="BX39" s="341">
        <v>-2235</v>
      </c>
      <c r="BY39" s="339">
        <v>-500</v>
      </c>
      <c r="BZ39" s="339" t="s">
        <v>525</v>
      </c>
      <c r="CA39" s="339">
        <v>0</v>
      </c>
      <c r="CB39" s="339"/>
    </row>
    <row r="40" spans="3:80" ht="18">
      <c r="C40" s="251" t="str">
        <f t="shared" si="3"/>
        <v/>
      </c>
      <c r="D40" s="252" t="str">
        <f t="shared" si="4"/>
        <v/>
      </c>
      <c r="E40" s="253" t="str">
        <f t="shared" si="5"/>
        <v/>
      </c>
      <c r="F40" s="254" t="str">
        <f t="shared" si="6"/>
        <v/>
      </c>
      <c r="G40" s="255" t="str">
        <f t="shared" si="7"/>
        <v/>
      </c>
      <c r="H40" s="256" t="str">
        <f t="shared" si="8"/>
        <v/>
      </c>
      <c r="J40" s="322" t="str">
        <f t="shared" si="9"/>
        <v/>
      </c>
      <c r="K40" s="257" t="str">
        <f t="shared" si="10"/>
        <v/>
      </c>
      <c r="BK40" t="s">
        <v>19</v>
      </c>
      <c r="BL40" t="s">
        <v>20</v>
      </c>
      <c r="BM40" t="s">
        <v>17</v>
      </c>
      <c r="BR40" s="339" t="str">
        <f t="shared" si="11"/>
        <v>OPEN</v>
      </c>
      <c r="BS40" s="339" t="s">
        <v>386</v>
      </c>
      <c r="BT40" s="340">
        <v>44744.900023148148</v>
      </c>
      <c r="BU40" s="339">
        <v>0</v>
      </c>
      <c r="BV40" s="341">
        <v>2735</v>
      </c>
      <c r="BW40" s="341">
        <v>1689</v>
      </c>
      <c r="BX40" s="339">
        <v>-750</v>
      </c>
      <c r="BY40" s="339">
        <v>939</v>
      </c>
      <c r="BZ40" s="339" t="s">
        <v>525</v>
      </c>
      <c r="CA40" s="339">
        <v>0</v>
      </c>
      <c r="CB40" s="339"/>
    </row>
    <row r="41" spans="3:80" ht="18">
      <c r="C41" s="251" t="str">
        <f t="shared" si="3"/>
        <v/>
      </c>
      <c r="D41" s="252" t="str">
        <f t="shared" si="4"/>
        <v/>
      </c>
      <c r="E41" s="253" t="str">
        <f t="shared" si="5"/>
        <v/>
      </c>
      <c r="F41" s="254" t="str">
        <f t="shared" si="6"/>
        <v/>
      </c>
      <c r="G41" s="255" t="str">
        <f t="shared" si="7"/>
        <v/>
      </c>
      <c r="H41" s="256" t="str">
        <f t="shared" si="8"/>
        <v/>
      </c>
      <c r="J41" s="322" t="str">
        <f t="shared" si="9"/>
        <v/>
      </c>
      <c r="K41" s="257" t="str">
        <f t="shared" si="10"/>
        <v/>
      </c>
      <c r="BK41" t="s">
        <v>79</v>
      </c>
      <c r="BL41" t="s">
        <v>456</v>
      </c>
      <c r="BM41" t="s">
        <v>453</v>
      </c>
      <c r="BR41" s="339" t="str">
        <f t="shared" si="11"/>
        <v>Keenan Tims boy</v>
      </c>
      <c r="BS41" s="339" t="s">
        <v>372</v>
      </c>
      <c r="BT41" s="340">
        <v>44843.666331018518</v>
      </c>
      <c r="BU41" s="339">
        <v>130</v>
      </c>
      <c r="BV41" s="341">
        <v>2575</v>
      </c>
      <c r="BW41" s="341">
        <v>1075</v>
      </c>
      <c r="BX41" s="341">
        <v>-1546</v>
      </c>
      <c r="BY41" s="339">
        <v>-471</v>
      </c>
      <c r="BZ41" s="339" t="s">
        <v>525</v>
      </c>
      <c r="CA41" s="339">
        <v>0</v>
      </c>
      <c r="CB41" s="339"/>
    </row>
    <row r="42" spans="3:80" ht="18">
      <c r="C42" s="251" t="str">
        <f t="shared" si="3"/>
        <v/>
      </c>
      <c r="D42" s="252" t="str">
        <f t="shared" si="4"/>
        <v/>
      </c>
      <c r="E42" s="253" t="str">
        <f t="shared" si="5"/>
        <v/>
      </c>
      <c r="F42" s="254" t="str">
        <f t="shared" si="6"/>
        <v/>
      </c>
      <c r="G42" s="255" t="str">
        <f t="shared" si="7"/>
        <v/>
      </c>
      <c r="H42" s="256" t="str">
        <f t="shared" si="8"/>
        <v/>
      </c>
      <c r="J42" s="322" t="str">
        <f t="shared" si="9"/>
        <v/>
      </c>
      <c r="K42" s="257" t="str">
        <f t="shared" si="10"/>
        <v/>
      </c>
      <c r="BK42" t="s">
        <v>25</v>
      </c>
      <c r="BL42" t="s">
        <v>26</v>
      </c>
      <c r="BM42" t="s">
        <v>17</v>
      </c>
      <c r="BR42" s="339" t="str">
        <f t="shared" si="11"/>
        <v>Chris</v>
      </c>
      <c r="BS42" s="339" t="s">
        <v>393</v>
      </c>
      <c r="BT42" s="340">
        <v>44834.704837962963</v>
      </c>
      <c r="BU42" s="339">
        <v>650</v>
      </c>
      <c r="BV42" s="341">
        <v>2456</v>
      </c>
      <c r="BW42" s="339">
        <v>851</v>
      </c>
      <c r="BX42" s="341">
        <v>-1431</v>
      </c>
      <c r="BY42" s="339">
        <v>-580</v>
      </c>
      <c r="BZ42" s="339" t="s">
        <v>525</v>
      </c>
      <c r="CA42" s="339">
        <v>-10</v>
      </c>
      <c r="CB42" s="339"/>
    </row>
    <row r="43" spans="3:80" ht="18">
      <c r="C43" s="251" t="str">
        <f t="shared" si="3"/>
        <v/>
      </c>
      <c r="D43" s="252" t="str">
        <f t="shared" si="4"/>
        <v/>
      </c>
      <c r="E43" s="253" t="str">
        <f t="shared" si="5"/>
        <v/>
      </c>
      <c r="F43" s="254" t="str">
        <f t="shared" si="6"/>
        <v/>
      </c>
      <c r="G43" s="255" t="str">
        <f t="shared" si="7"/>
        <v/>
      </c>
      <c r="H43" s="256" t="str">
        <f t="shared" si="8"/>
        <v/>
      </c>
      <c r="J43" s="322" t="str">
        <f t="shared" si="9"/>
        <v/>
      </c>
      <c r="K43" s="257" t="str">
        <f t="shared" si="10"/>
        <v/>
      </c>
      <c r="BK43" t="s">
        <v>67</v>
      </c>
      <c r="BL43" t="s">
        <v>68</v>
      </c>
      <c r="BM43" t="s">
        <v>17</v>
      </c>
      <c r="BR43" s="339" t="str">
        <f t="shared" si="11"/>
        <v>James Mendel</v>
      </c>
      <c r="BS43" s="339" t="s">
        <v>532</v>
      </c>
      <c r="BT43" s="340">
        <v>44814.861678240741</v>
      </c>
      <c r="BU43" s="339">
        <v>0</v>
      </c>
      <c r="BV43" s="341">
        <v>2380</v>
      </c>
      <c r="BW43" s="339">
        <v>923</v>
      </c>
      <c r="BX43" s="341">
        <v>-1009</v>
      </c>
      <c r="BY43" s="339">
        <v>-86</v>
      </c>
      <c r="BZ43" s="339" t="s">
        <v>525</v>
      </c>
      <c r="CA43" s="339">
        <v>0</v>
      </c>
      <c r="CB43" s="339"/>
    </row>
    <row r="44" spans="3:80" ht="18">
      <c r="C44" s="251" t="str">
        <f t="shared" si="3"/>
        <v/>
      </c>
      <c r="D44" s="252" t="str">
        <f t="shared" si="4"/>
        <v/>
      </c>
      <c r="E44" s="253" t="str">
        <f t="shared" si="5"/>
        <v/>
      </c>
      <c r="F44" s="254" t="str">
        <f t="shared" si="6"/>
        <v/>
      </c>
      <c r="G44" s="255" t="str">
        <f t="shared" si="7"/>
        <v/>
      </c>
      <c r="H44" s="256" t="str">
        <f t="shared" si="8"/>
        <v/>
      </c>
      <c r="J44" s="322" t="str">
        <f t="shared" si="9"/>
        <v/>
      </c>
      <c r="K44" s="257" t="str">
        <f t="shared" si="10"/>
        <v/>
      </c>
      <c r="BK44" t="s">
        <v>109</v>
      </c>
      <c r="BL44" t="s">
        <v>110</v>
      </c>
      <c r="BM44" t="s">
        <v>17</v>
      </c>
      <c r="BR44" s="339" t="str">
        <f t="shared" si="11"/>
        <v>Clark</v>
      </c>
      <c r="BS44" s="339" t="s">
        <v>531</v>
      </c>
      <c r="BT44" s="340">
        <v>44842.434953703705</v>
      </c>
      <c r="BU44" s="339">
        <v>0</v>
      </c>
      <c r="BV44" s="341">
        <v>2315</v>
      </c>
      <c r="BW44" s="341">
        <v>1445</v>
      </c>
      <c r="BX44" s="341">
        <v>-1482</v>
      </c>
      <c r="BY44" s="339">
        <v>-37</v>
      </c>
      <c r="BZ44" s="339" t="s">
        <v>525</v>
      </c>
      <c r="CA44" s="339">
        <v>0</v>
      </c>
      <c r="CB44" s="339"/>
    </row>
    <row r="45" spans="3:80" ht="18">
      <c r="C45" s="251" t="str">
        <f t="shared" si="3"/>
        <v/>
      </c>
      <c r="D45" s="252" t="str">
        <f t="shared" si="4"/>
        <v/>
      </c>
      <c r="E45" s="253" t="str">
        <f t="shared" si="5"/>
        <v/>
      </c>
      <c r="F45" s="254" t="str">
        <f t="shared" si="6"/>
        <v/>
      </c>
      <c r="G45" s="255" t="str">
        <f t="shared" si="7"/>
        <v/>
      </c>
      <c r="H45" s="256" t="str">
        <f t="shared" si="8"/>
        <v/>
      </c>
      <c r="J45" s="322" t="str">
        <f t="shared" si="9"/>
        <v/>
      </c>
      <c r="K45" s="257" t="str">
        <f t="shared" si="10"/>
        <v/>
      </c>
      <c r="BK45" t="s">
        <v>15</v>
      </c>
      <c r="BL45" t="s">
        <v>465</v>
      </c>
      <c r="BM45" t="s">
        <v>17</v>
      </c>
      <c r="BR45" s="339" t="str">
        <f t="shared" si="11"/>
        <v>ike baldwin</v>
      </c>
      <c r="BS45" s="339" t="s">
        <v>378</v>
      </c>
      <c r="BT45" s="340">
        <v>44846.482789351852</v>
      </c>
      <c r="BU45" s="339">
        <v>44</v>
      </c>
      <c r="BV45" s="341">
        <v>2041</v>
      </c>
      <c r="BW45" s="339">
        <v>910</v>
      </c>
      <c r="BX45" s="341">
        <v>-1071</v>
      </c>
      <c r="BY45" s="339">
        <v>-161</v>
      </c>
      <c r="BZ45" s="339" t="s">
        <v>525</v>
      </c>
      <c r="CA45" s="339">
        <v>0</v>
      </c>
      <c r="CB45" s="339"/>
    </row>
    <row r="46" spans="3:80" ht="18">
      <c r="C46" s="251" t="str">
        <f t="shared" si="3"/>
        <v/>
      </c>
      <c r="D46" s="252" t="str">
        <f t="shared" si="4"/>
        <v/>
      </c>
      <c r="E46" s="253" t="str">
        <f t="shared" si="5"/>
        <v/>
      </c>
      <c r="F46" s="254" t="str">
        <f t="shared" si="6"/>
        <v/>
      </c>
      <c r="G46" s="255" t="str">
        <f t="shared" si="7"/>
        <v/>
      </c>
      <c r="H46" s="256" t="str">
        <f t="shared" si="8"/>
        <v/>
      </c>
      <c r="J46" s="322" t="str">
        <f t="shared" si="9"/>
        <v/>
      </c>
      <c r="K46" s="257" t="str">
        <f t="shared" si="10"/>
        <v/>
      </c>
      <c r="BK46" t="s">
        <v>59</v>
      </c>
      <c r="BL46" t="s">
        <v>104</v>
      </c>
      <c r="BM46" t="s">
        <v>17</v>
      </c>
      <c r="BR46" s="339" t="str">
        <f t="shared" si="11"/>
        <v>Will R</v>
      </c>
      <c r="BS46" s="339" t="s">
        <v>333</v>
      </c>
      <c r="BT46" s="340">
        <v>44844.714131944442</v>
      </c>
      <c r="BU46" s="339">
        <v>138</v>
      </c>
      <c r="BV46" s="341">
        <v>1937</v>
      </c>
      <c r="BW46" s="339">
        <v>676</v>
      </c>
      <c r="BX46" s="341">
        <v>-1270</v>
      </c>
      <c r="BY46" s="339">
        <v>-594</v>
      </c>
      <c r="BZ46" s="339" t="s">
        <v>525</v>
      </c>
      <c r="CA46" s="339">
        <v>15</v>
      </c>
      <c r="CB46" s="339"/>
    </row>
    <row r="47" spans="3:80" ht="18">
      <c r="C47" s="251" t="str">
        <f t="shared" si="3"/>
        <v/>
      </c>
      <c r="D47" s="252" t="str">
        <f t="shared" si="4"/>
        <v/>
      </c>
      <c r="E47" s="253" t="str">
        <f t="shared" si="5"/>
        <v/>
      </c>
      <c r="F47" s="254" t="str">
        <f t="shared" si="6"/>
        <v/>
      </c>
      <c r="G47" s="255" t="str">
        <f t="shared" si="7"/>
        <v/>
      </c>
      <c r="H47" s="256" t="str">
        <f t="shared" si="8"/>
        <v/>
      </c>
      <c r="J47" s="322" t="str">
        <f t="shared" si="9"/>
        <v/>
      </c>
      <c r="K47" s="257" t="str">
        <f t="shared" si="10"/>
        <v/>
      </c>
      <c r="BK47" t="s">
        <v>130</v>
      </c>
      <c r="BL47" t="s">
        <v>131</v>
      </c>
      <c r="BM47" t="s">
        <v>40</v>
      </c>
      <c r="BR47" s="339" t="str">
        <f t="shared" si="11"/>
        <v>NebBaldwin</v>
      </c>
      <c r="BS47" s="339" t="s">
        <v>344</v>
      </c>
      <c r="BT47" s="340">
        <v>44843.539409722223</v>
      </c>
      <c r="BU47" s="339">
        <v>0</v>
      </c>
      <c r="BV47" s="341">
        <v>1831</v>
      </c>
      <c r="BW47" s="339">
        <v>700</v>
      </c>
      <c r="BX47" s="341">
        <v>-1073</v>
      </c>
      <c r="BY47" s="339">
        <v>-373</v>
      </c>
      <c r="BZ47" s="339" t="s">
        <v>525</v>
      </c>
      <c r="CA47" s="339">
        <v>23</v>
      </c>
      <c r="CB47" s="339"/>
    </row>
    <row r="48" spans="3:80" ht="18">
      <c r="C48" s="251" t="str">
        <f t="shared" si="3"/>
        <v/>
      </c>
      <c r="D48" s="252" t="str">
        <f t="shared" si="4"/>
        <v/>
      </c>
      <c r="E48" s="253" t="str">
        <f t="shared" si="5"/>
        <v/>
      </c>
      <c r="F48" s="254" t="str">
        <f t="shared" si="6"/>
        <v/>
      </c>
      <c r="G48" s="255" t="str">
        <f t="shared" si="7"/>
        <v/>
      </c>
      <c r="H48" s="256" t="str">
        <f t="shared" si="8"/>
        <v/>
      </c>
      <c r="J48" s="322" t="str">
        <f t="shared" si="9"/>
        <v/>
      </c>
      <c r="K48" s="257" t="str">
        <f t="shared" si="10"/>
        <v/>
      </c>
      <c r="BK48" t="s">
        <v>126</v>
      </c>
      <c r="BL48" t="s">
        <v>456</v>
      </c>
      <c r="BM48" t="s">
        <v>453</v>
      </c>
      <c r="BR48" s="339" t="str">
        <f t="shared" si="11"/>
        <v>Connor</v>
      </c>
      <c r="BS48" s="339" t="s">
        <v>342</v>
      </c>
      <c r="BT48" s="340">
        <v>44846.62228009259</v>
      </c>
      <c r="BU48" s="339">
        <v>100</v>
      </c>
      <c r="BV48" s="341">
        <v>1752</v>
      </c>
      <c r="BW48" s="339">
        <v>812</v>
      </c>
      <c r="BX48" s="341">
        <v>-1116</v>
      </c>
      <c r="BY48" s="339">
        <v>-304</v>
      </c>
      <c r="BZ48" s="339" t="s">
        <v>525</v>
      </c>
      <c r="CA48" s="339">
        <v>0</v>
      </c>
      <c r="CB48" s="339"/>
    </row>
    <row r="49" spans="3:80" ht="18">
      <c r="C49" s="251" t="str">
        <f t="shared" si="3"/>
        <v/>
      </c>
      <c r="D49" s="252" t="str">
        <f t="shared" si="4"/>
        <v/>
      </c>
      <c r="E49" s="253" t="str">
        <f t="shared" si="5"/>
        <v/>
      </c>
      <c r="F49" s="254" t="str">
        <f t="shared" si="6"/>
        <v/>
      </c>
      <c r="G49" s="255" t="str">
        <f t="shared" si="7"/>
        <v/>
      </c>
      <c r="H49" s="256" t="str">
        <f t="shared" si="8"/>
        <v/>
      </c>
      <c r="J49" s="322" t="str">
        <f t="shared" si="9"/>
        <v/>
      </c>
      <c r="K49" s="257" t="str">
        <f t="shared" si="10"/>
        <v/>
      </c>
      <c r="BK49" t="s">
        <v>128</v>
      </c>
      <c r="BL49" t="s">
        <v>250</v>
      </c>
      <c r="BM49" t="s">
        <v>17</v>
      </c>
      <c r="BR49" s="339" t="str">
        <f t="shared" si="11"/>
        <v>Tim</v>
      </c>
      <c r="BS49" s="339" t="s">
        <v>540</v>
      </c>
      <c r="BT49" s="340">
        <v>44839.407870370371</v>
      </c>
      <c r="BU49" s="339">
        <v>0</v>
      </c>
      <c r="BV49" s="341">
        <v>1630</v>
      </c>
      <c r="BW49" s="339">
        <v>557</v>
      </c>
      <c r="BX49" s="341">
        <v>-1107</v>
      </c>
      <c r="BY49" s="339">
        <v>-550</v>
      </c>
      <c r="BZ49" s="339" t="s">
        <v>525</v>
      </c>
      <c r="CA49" s="339">
        <v>0</v>
      </c>
      <c r="CB49" s="339"/>
    </row>
    <row r="50" spans="3:80" ht="18">
      <c r="C50" s="251" t="str">
        <f t="shared" si="3"/>
        <v/>
      </c>
      <c r="D50" s="252" t="str">
        <f t="shared" si="4"/>
        <v/>
      </c>
      <c r="E50" s="253" t="str">
        <f t="shared" si="5"/>
        <v/>
      </c>
      <c r="F50" s="254" t="str">
        <f t="shared" si="6"/>
        <v/>
      </c>
      <c r="G50" s="255" t="str">
        <f t="shared" si="7"/>
        <v/>
      </c>
      <c r="H50" s="256" t="str">
        <f t="shared" si="8"/>
        <v/>
      </c>
      <c r="J50" s="322" t="str">
        <f t="shared" si="9"/>
        <v/>
      </c>
      <c r="K50" s="257" t="str">
        <f t="shared" si="10"/>
        <v/>
      </c>
      <c r="BK50" t="s">
        <v>132</v>
      </c>
      <c r="BL50" t="s">
        <v>464</v>
      </c>
      <c r="BM50" t="s">
        <v>17</v>
      </c>
      <c r="BR50" s="339" t="str">
        <f t="shared" si="11"/>
        <v>Jimmy</v>
      </c>
      <c r="BS50" s="339" t="s">
        <v>539</v>
      </c>
      <c r="BT50" s="340">
        <v>44843.412407407406</v>
      </c>
      <c r="BU50" s="339">
        <v>0</v>
      </c>
      <c r="BV50" s="341">
        <v>1408</v>
      </c>
      <c r="BW50" s="339">
        <v>667</v>
      </c>
      <c r="BX50" s="341">
        <v>-1057</v>
      </c>
      <c r="BY50" s="339">
        <v>-390</v>
      </c>
      <c r="BZ50" s="339" t="s">
        <v>525</v>
      </c>
      <c r="CA50" s="339">
        <v>0</v>
      </c>
      <c r="CB50" s="339"/>
    </row>
    <row r="51" spans="3:80" ht="18">
      <c r="C51" s="251" t="str">
        <f t="shared" si="3"/>
        <v/>
      </c>
      <c r="D51" s="252" t="str">
        <f t="shared" si="4"/>
        <v/>
      </c>
      <c r="E51" s="253" t="str">
        <f t="shared" si="5"/>
        <v/>
      </c>
      <c r="F51" s="254" t="str">
        <f t="shared" si="6"/>
        <v/>
      </c>
      <c r="G51" s="255" t="str">
        <f t="shared" si="7"/>
        <v/>
      </c>
      <c r="H51" s="256" t="str">
        <f t="shared" si="8"/>
        <v/>
      </c>
      <c r="J51" s="322" t="str">
        <f t="shared" si="9"/>
        <v/>
      </c>
      <c r="K51" s="257" t="str">
        <f t="shared" si="10"/>
        <v/>
      </c>
      <c r="BK51" t="s">
        <v>226</v>
      </c>
      <c r="BL51" t="s">
        <v>467</v>
      </c>
      <c r="BM51" t="s">
        <v>17</v>
      </c>
      <c r="BR51" s="339" t="str">
        <f t="shared" si="11"/>
        <v>RyanVictory</v>
      </c>
      <c r="BS51" s="339" t="s">
        <v>535</v>
      </c>
      <c r="BT51" s="340">
        <v>44845.383738425924</v>
      </c>
      <c r="BU51" s="339">
        <v>40</v>
      </c>
      <c r="BV51" s="341">
        <v>1288</v>
      </c>
      <c r="BW51" s="339">
        <v>805</v>
      </c>
      <c r="BX51" s="339">
        <v>-978</v>
      </c>
      <c r="BY51" s="339">
        <v>-173</v>
      </c>
      <c r="BZ51" s="339" t="s">
        <v>525</v>
      </c>
      <c r="CA51" s="339">
        <v>0</v>
      </c>
      <c r="CB51" s="339"/>
    </row>
    <row r="52" spans="3:80" ht="18">
      <c r="C52" s="251" t="str">
        <f t="shared" si="3"/>
        <v/>
      </c>
      <c r="D52" s="252" t="str">
        <f t="shared" si="4"/>
        <v/>
      </c>
      <c r="E52" s="253" t="str">
        <f t="shared" si="5"/>
        <v/>
      </c>
      <c r="F52" s="254" t="str">
        <f t="shared" si="6"/>
        <v/>
      </c>
      <c r="G52" s="255" t="str">
        <f t="shared" si="7"/>
        <v/>
      </c>
      <c r="H52" s="256" t="str">
        <f t="shared" si="8"/>
        <v/>
      </c>
      <c r="J52" s="322" t="str">
        <f t="shared" si="9"/>
        <v/>
      </c>
      <c r="K52" s="257" t="str">
        <f t="shared" si="10"/>
        <v/>
      </c>
      <c r="BK52" t="s">
        <v>221</v>
      </c>
      <c r="BL52" t="s">
        <v>230</v>
      </c>
      <c r="BM52" t="s">
        <v>17</v>
      </c>
      <c r="BR52" s="339" t="str">
        <f t="shared" si="11"/>
        <v>Quees</v>
      </c>
      <c r="BS52" s="339" t="s">
        <v>357</v>
      </c>
      <c r="BT52" s="340">
        <v>44844.801608796297</v>
      </c>
      <c r="BU52" s="339">
        <v>0</v>
      </c>
      <c r="BV52" s="341">
        <v>1280</v>
      </c>
      <c r="BW52" s="339">
        <v>893</v>
      </c>
      <c r="BX52" s="339">
        <v>-876</v>
      </c>
      <c r="BY52" s="339">
        <v>17</v>
      </c>
      <c r="BZ52" s="339" t="s">
        <v>525</v>
      </c>
      <c r="CA52" s="339">
        <v>-25</v>
      </c>
      <c r="CB52" s="339"/>
    </row>
    <row r="53" spans="3:80" ht="18">
      <c r="C53" s="251" t="str">
        <f t="shared" si="3"/>
        <v/>
      </c>
      <c r="D53" s="252" t="str">
        <f t="shared" si="4"/>
        <v/>
      </c>
      <c r="E53" s="253" t="str">
        <f t="shared" si="5"/>
        <v/>
      </c>
      <c r="F53" s="254" t="str">
        <f t="shared" si="6"/>
        <v/>
      </c>
      <c r="G53" s="255" t="str">
        <f t="shared" si="7"/>
        <v/>
      </c>
      <c r="H53" s="256" t="str">
        <f t="shared" si="8"/>
        <v/>
      </c>
      <c r="J53" s="322" t="str">
        <f t="shared" si="9"/>
        <v/>
      </c>
      <c r="K53" s="257" t="str">
        <f t="shared" si="10"/>
        <v/>
      </c>
      <c r="BK53" t="s">
        <v>222</v>
      </c>
      <c r="BL53" t="s">
        <v>44</v>
      </c>
      <c r="BM53" t="s">
        <v>40</v>
      </c>
      <c r="BR53" s="339" t="str">
        <f t="shared" si="11"/>
        <v>Wagner</v>
      </c>
      <c r="BS53" s="339" t="s">
        <v>336</v>
      </c>
      <c r="BT53" s="340">
        <v>44835.341493055559</v>
      </c>
      <c r="BU53" s="339">
        <v>63</v>
      </c>
      <c r="BV53" s="339">
        <v>973</v>
      </c>
      <c r="BW53" s="339">
        <v>779</v>
      </c>
      <c r="BX53" s="339">
        <v>-397</v>
      </c>
      <c r="BY53" s="339">
        <v>382</v>
      </c>
      <c r="BZ53" s="339" t="s">
        <v>525</v>
      </c>
      <c r="CA53" s="339">
        <v>0</v>
      </c>
      <c r="CB53" s="339"/>
    </row>
    <row r="54" spans="3:80" ht="18">
      <c r="C54" s="251" t="str">
        <f t="shared" si="3"/>
        <v/>
      </c>
      <c r="D54" s="252" t="str">
        <f t="shared" si="4"/>
        <v/>
      </c>
      <c r="E54" s="253" t="str">
        <f t="shared" si="5"/>
        <v/>
      </c>
      <c r="F54" s="254" t="str">
        <f t="shared" si="6"/>
        <v/>
      </c>
      <c r="G54" s="255" t="str">
        <f t="shared" si="7"/>
        <v/>
      </c>
      <c r="H54" s="256" t="str">
        <f t="shared" si="8"/>
        <v/>
      </c>
      <c r="J54" s="322" t="str">
        <f t="shared" si="9"/>
        <v/>
      </c>
      <c r="K54" s="257" t="str">
        <f t="shared" si="10"/>
        <v/>
      </c>
      <c r="BK54" t="s">
        <v>223</v>
      </c>
      <c r="BL54" t="s">
        <v>471</v>
      </c>
      <c r="BM54" t="s">
        <v>17</v>
      </c>
      <c r="BR54" s="339" t="str">
        <f t="shared" si="11"/>
        <v>DylanB</v>
      </c>
      <c r="BS54" s="339" t="s">
        <v>368</v>
      </c>
      <c r="BT54" s="340">
        <v>44816.362523148149</v>
      </c>
      <c r="BU54" s="339">
        <v>0</v>
      </c>
      <c r="BV54" s="339">
        <v>970</v>
      </c>
      <c r="BW54" s="339">
        <v>385</v>
      </c>
      <c r="BX54" s="339">
        <v>-499</v>
      </c>
      <c r="BY54" s="339">
        <v>-114</v>
      </c>
      <c r="BZ54" s="339" t="s">
        <v>525</v>
      </c>
      <c r="CA54" s="339">
        <v>0</v>
      </c>
      <c r="CB54" s="339"/>
    </row>
    <row r="55" spans="3:80" ht="18">
      <c r="C55" s="251" t="str">
        <f t="shared" si="3"/>
        <v/>
      </c>
      <c r="D55" s="252" t="str">
        <f t="shared" si="4"/>
        <v/>
      </c>
      <c r="E55" s="253" t="str">
        <f t="shared" si="5"/>
        <v/>
      </c>
      <c r="F55" s="254" t="str">
        <f t="shared" si="6"/>
        <v/>
      </c>
      <c r="G55" s="255" t="str">
        <f t="shared" si="7"/>
        <v/>
      </c>
      <c r="H55" s="256" t="str">
        <f t="shared" si="8"/>
        <v/>
      </c>
      <c r="J55" s="322" t="str">
        <f t="shared" si="9"/>
        <v/>
      </c>
      <c r="K55" s="257" t="str">
        <f t="shared" si="10"/>
        <v/>
      </c>
      <c r="BK55" t="s">
        <v>257</v>
      </c>
      <c r="BL55" t="s">
        <v>258</v>
      </c>
      <c r="BM55" t="s">
        <v>40</v>
      </c>
      <c r="BR55" s="339" t="str">
        <f t="shared" si="11"/>
        <v>Nico S</v>
      </c>
      <c r="BS55" s="339" t="s">
        <v>376</v>
      </c>
      <c r="BT55" s="340">
        <v>44789.576168981483</v>
      </c>
      <c r="BU55" s="339">
        <v>0</v>
      </c>
      <c r="BV55" s="339">
        <v>821</v>
      </c>
      <c r="BW55" s="339">
        <v>792</v>
      </c>
      <c r="BX55" s="339">
        <v>-447</v>
      </c>
      <c r="BY55" s="339">
        <v>345</v>
      </c>
      <c r="BZ55" s="339" t="s">
        <v>525</v>
      </c>
      <c r="CA55" s="339">
        <v>0</v>
      </c>
      <c r="CB55" s="339"/>
    </row>
    <row r="56" spans="3:80" ht="18">
      <c r="C56" s="251" t="str">
        <f t="shared" si="3"/>
        <v/>
      </c>
      <c r="D56" s="252" t="str">
        <f t="shared" si="4"/>
        <v/>
      </c>
      <c r="E56" s="253" t="str">
        <f t="shared" si="5"/>
        <v/>
      </c>
      <c r="F56" s="254" t="str">
        <f t="shared" si="6"/>
        <v/>
      </c>
      <c r="G56" s="255" t="str">
        <f t="shared" si="7"/>
        <v/>
      </c>
      <c r="H56" s="256" t="str">
        <f t="shared" si="8"/>
        <v/>
      </c>
      <c r="J56" s="322" t="str">
        <f t="shared" si="9"/>
        <v/>
      </c>
      <c r="K56" s="257" t="str">
        <f t="shared" si="10"/>
        <v/>
      </c>
      <c r="BK56" t="s">
        <v>228</v>
      </c>
      <c r="BL56" t="s">
        <v>470</v>
      </c>
      <c r="BM56" t="s">
        <v>27</v>
      </c>
      <c r="BR56" s="339" t="str">
        <f t="shared" si="11"/>
        <v>Garett Pool</v>
      </c>
      <c r="BS56" s="339" t="s">
        <v>541</v>
      </c>
      <c r="BT56" s="340">
        <v>44744.851712962962</v>
      </c>
      <c r="BU56" s="339">
        <v>0</v>
      </c>
      <c r="BV56" s="339">
        <v>800</v>
      </c>
      <c r="BW56" s="339">
        <v>25</v>
      </c>
      <c r="BX56" s="339">
        <v>-773</v>
      </c>
      <c r="BY56" s="339">
        <v>-748</v>
      </c>
      <c r="BZ56" s="339" t="s">
        <v>525</v>
      </c>
      <c r="CA56" s="339">
        <v>0</v>
      </c>
      <c r="CB56" s="339"/>
    </row>
    <row r="57" spans="3:80" ht="18">
      <c r="C57" s="251" t="str">
        <f t="shared" si="3"/>
        <v/>
      </c>
      <c r="D57" s="252" t="str">
        <f t="shared" si="4"/>
        <v/>
      </c>
      <c r="E57" s="253" t="str">
        <f t="shared" si="5"/>
        <v/>
      </c>
      <c r="F57" s="254" t="str">
        <f t="shared" si="6"/>
        <v/>
      </c>
      <c r="G57" s="255" t="str">
        <f t="shared" si="7"/>
        <v/>
      </c>
      <c r="H57" s="256" t="str">
        <f t="shared" si="8"/>
        <v/>
      </c>
      <c r="J57" s="322" t="str">
        <f t="shared" si="9"/>
        <v/>
      </c>
      <c r="K57" s="257" t="str">
        <f t="shared" si="10"/>
        <v/>
      </c>
      <c r="BK57" t="s">
        <v>244</v>
      </c>
      <c r="BL57" t="s">
        <v>456</v>
      </c>
      <c r="BM57" t="s">
        <v>453</v>
      </c>
      <c r="BR57" s="339" t="str">
        <f t="shared" si="11"/>
        <v>Luc</v>
      </c>
      <c r="BS57" s="339" t="s">
        <v>362</v>
      </c>
      <c r="BT57" s="340">
        <v>44604.505428240744</v>
      </c>
      <c r="BU57" s="339">
        <v>0</v>
      </c>
      <c r="BV57" s="339">
        <v>779</v>
      </c>
      <c r="BW57" s="339">
        <v>236</v>
      </c>
      <c r="BX57" s="339">
        <v>-569</v>
      </c>
      <c r="BY57" s="339">
        <v>-333</v>
      </c>
      <c r="BZ57" s="339" t="s">
        <v>525</v>
      </c>
      <c r="CA57" s="339">
        <v>0</v>
      </c>
      <c r="CB57" s="339"/>
    </row>
    <row r="58" spans="3:80" ht="18">
      <c r="C58" s="251" t="str">
        <f t="shared" si="3"/>
        <v/>
      </c>
      <c r="D58" s="252" t="str">
        <f t="shared" si="4"/>
        <v/>
      </c>
      <c r="E58" s="253" t="str">
        <f t="shared" si="5"/>
        <v/>
      </c>
      <c r="F58" s="254" t="str">
        <f t="shared" si="6"/>
        <v/>
      </c>
      <c r="G58" s="255" t="str">
        <f t="shared" si="7"/>
        <v/>
      </c>
      <c r="H58" s="256" t="str">
        <f t="shared" si="8"/>
        <v/>
      </c>
      <c r="J58" s="322" t="str">
        <f t="shared" si="9"/>
        <v/>
      </c>
      <c r="K58" s="257" t="str">
        <f t="shared" si="10"/>
        <v/>
      </c>
      <c r="BK58" t="s">
        <v>246</v>
      </c>
      <c r="BL58" t="s">
        <v>462</v>
      </c>
      <c r="BM58" t="s">
        <v>27</v>
      </c>
      <c r="BR58" s="339" t="str">
        <f t="shared" si="11"/>
        <v>Kaz</v>
      </c>
      <c r="BS58" s="339" t="s">
        <v>355</v>
      </c>
      <c r="BT58" s="340">
        <v>44688.641875000001</v>
      </c>
      <c r="BU58" s="339">
        <v>0</v>
      </c>
      <c r="BV58" s="339">
        <v>755</v>
      </c>
      <c r="BW58" s="339">
        <v>754</v>
      </c>
      <c r="BX58" s="339">
        <v>-470</v>
      </c>
      <c r="BY58" s="339">
        <v>284</v>
      </c>
      <c r="BZ58" s="339" t="s">
        <v>525</v>
      </c>
      <c r="CA58" s="339">
        <v>0</v>
      </c>
      <c r="CB58" s="339"/>
    </row>
    <row r="59" spans="3:80" ht="18">
      <c r="C59" s="251" t="str">
        <f t="shared" si="3"/>
        <v/>
      </c>
      <c r="D59" s="252" t="str">
        <f t="shared" si="4"/>
        <v/>
      </c>
      <c r="E59" s="253" t="str">
        <f t="shared" si="5"/>
        <v/>
      </c>
      <c r="F59" s="254" t="str">
        <f t="shared" si="6"/>
        <v/>
      </c>
      <c r="G59" s="255" t="str">
        <f t="shared" si="7"/>
        <v/>
      </c>
      <c r="H59" s="256" t="str">
        <f t="shared" si="8"/>
        <v/>
      </c>
      <c r="J59" s="322" t="str">
        <f t="shared" si="9"/>
        <v/>
      </c>
      <c r="K59" s="257" t="str">
        <f t="shared" si="10"/>
        <v/>
      </c>
      <c r="BK59" t="s">
        <v>255</v>
      </c>
      <c r="BL59" t="s">
        <v>456</v>
      </c>
      <c r="BM59" t="s">
        <v>453</v>
      </c>
      <c r="BR59" s="339" t="str">
        <f t="shared" si="11"/>
        <v>Hannah</v>
      </c>
      <c r="BS59" s="339" t="s">
        <v>536</v>
      </c>
      <c r="BT59" s="340">
        <v>44843.533043981479</v>
      </c>
      <c r="BU59" s="339">
        <v>0</v>
      </c>
      <c r="BV59" s="339">
        <v>533</v>
      </c>
      <c r="BW59" s="339">
        <v>100</v>
      </c>
      <c r="BX59" s="339">
        <v>-423</v>
      </c>
      <c r="BY59" s="339">
        <v>-323</v>
      </c>
      <c r="BZ59" s="339" t="s">
        <v>525</v>
      </c>
      <c r="CA59" s="339">
        <v>0</v>
      </c>
      <c r="CB59" s="339"/>
    </row>
    <row r="60" spans="3:80" ht="18">
      <c r="C60" s="251" t="str">
        <f t="shared" si="3"/>
        <v/>
      </c>
      <c r="D60" s="252" t="str">
        <f t="shared" si="4"/>
        <v/>
      </c>
      <c r="E60" s="253" t="str">
        <f t="shared" si="5"/>
        <v/>
      </c>
      <c r="F60" s="254" t="str">
        <f t="shared" si="6"/>
        <v/>
      </c>
      <c r="G60" s="255" t="str">
        <f t="shared" si="7"/>
        <v/>
      </c>
      <c r="H60" s="256" t="str">
        <f t="shared" si="8"/>
        <v/>
      </c>
      <c r="J60" s="322" t="str">
        <f t="shared" si="9"/>
        <v/>
      </c>
      <c r="K60" s="257" t="str">
        <f t="shared" si="10"/>
        <v/>
      </c>
      <c r="BK60" t="s">
        <v>259</v>
      </c>
      <c r="BL60" t="s">
        <v>456</v>
      </c>
      <c r="BM60" t="s">
        <v>453</v>
      </c>
      <c r="BR60" s="339" t="str">
        <f t="shared" si="11"/>
        <v>Lance</v>
      </c>
      <c r="BS60" s="339" t="s">
        <v>537</v>
      </c>
      <c r="BT60" s="340">
        <v>44800.845752314817</v>
      </c>
      <c r="BU60" s="339">
        <v>0</v>
      </c>
      <c r="BV60" s="339">
        <v>455</v>
      </c>
      <c r="BW60" s="339">
        <v>48</v>
      </c>
      <c r="BX60" s="339">
        <v>-385</v>
      </c>
      <c r="BY60" s="339">
        <v>-337</v>
      </c>
      <c r="BZ60" s="339" t="s">
        <v>525</v>
      </c>
      <c r="CA60" s="339">
        <v>0</v>
      </c>
      <c r="CB60" s="339"/>
    </row>
    <row r="61" spans="3:80" ht="18">
      <c r="C61" s="251" t="str">
        <f t="shared" si="3"/>
        <v/>
      </c>
      <c r="D61" s="252" t="str">
        <f t="shared" si="4"/>
        <v/>
      </c>
      <c r="E61" s="253" t="str">
        <f t="shared" si="5"/>
        <v/>
      </c>
      <c r="F61" s="254" t="str">
        <f t="shared" si="6"/>
        <v/>
      </c>
      <c r="G61" s="255" t="str">
        <f t="shared" si="7"/>
        <v/>
      </c>
      <c r="H61" s="256" t="str">
        <f t="shared" si="8"/>
        <v/>
      </c>
      <c r="J61" s="322" t="str">
        <f t="shared" si="9"/>
        <v/>
      </c>
      <c r="K61" s="257" t="str">
        <f t="shared" si="10"/>
        <v/>
      </c>
      <c r="BK61" t="s">
        <v>251</v>
      </c>
      <c r="BL61" t="s">
        <v>252</v>
      </c>
      <c r="BM61" t="s">
        <v>17</v>
      </c>
      <c r="BR61" s="339" t="str">
        <f t="shared" si="11"/>
        <v>Bean</v>
      </c>
      <c r="BS61" s="339" t="s">
        <v>529</v>
      </c>
      <c r="BT61" s="340">
        <v>44846.866296296299</v>
      </c>
      <c r="BU61" s="339">
        <v>90</v>
      </c>
      <c r="BV61" s="339">
        <v>325</v>
      </c>
      <c r="BW61" s="339">
        <v>219</v>
      </c>
      <c r="BX61" s="339">
        <v>-116</v>
      </c>
      <c r="BY61" s="339">
        <v>103</v>
      </c>
      <c r="BZ61" s="339" t="s">
        <v>525</v>
      </c>
      <c r="CA61" s="339">
        <v>20</v>
      </c>
      <c r="CB61" s="339"/>
    </row>
    <row r="62" spans="3:80" ht="18">
      <c r="C62" s="251" t="str">
        <f t="shared" si="3"/>
        <v/>
      </c>
      <c r="D62" s="252" t="str">
        <f t="shared" si="4"/>
        <v/>
      </c>
      <c r="E62" s="253" t="str">
        <f t="shared" si="5"/>
        <v/>
      </c>
      <c r="F62" s="254" t="str">
        <f t="shared" si="6"/>
        <v/>
      </c>
      <c r="G62" s="255" t="str">
        <f t="shared" si="7"/>
        <v/>
      </c>
      <c r="H62" s="256" t="str">
        <f t="shared" si="8"/>
        <v/>
      </c>
      <c r="J62" s="322" t="str">
        <f t="shared" si="9"/>
        <v/>
      </c>
      <c r="K62" s="257" t="str">
        <f t="shared" si="10"/>
        <v/>
      </c>
      <c r="BK62" t="s">
        <v>253</v>
      </c>
      <c r="BL62" t="s">
        <v>254</v>
      </c>
      <c r="BM62" t="s">
        <v>17</v>
      </c>
      <c r="BR62" s="339" t="str">
        <f t="shared" si="11"/>
        <v>OPEN</v>
      </c>
      <c r="BS62" s="339" t="s">
        <v>340</v>
      </c>
      <c r="BT62" s="340">
        <v>44605.614641203705</v>
      </c>
      <c r="BU62" s="339">
        <v>0</v>
      </c>
      <c r="BV62" s="339">
        <v>303</v>
      </c>
      <c r="BW62" s="339">
        <v>10</v>
      </c>
      <c r="BX62" s="339">
        <v>-292</v>
      </c>
      <c r="BY62" s="339">
        <v>-282</v>
      </c>
      <c r="BZ62" s="339" t="s">
        <v>525</v>
      </c>
      <c r="CA62" s="339">
        <v>0</v>
      </c>
      <c r="CB62" s="339"/>
    </row>
    <row r="63" spans="3:80" ht="18">
      <c r="C63" s="251" t="str">
        <f t="shared" si="3"/>
        <v/>
      </c>
      <c r="D63" s="252" t="str">
        <f t="shared" si="4"/>
        <v/>
      </c>
      <c r="E63" s="253" t="str">
        <f t="shared" si="5"/>
        <v/>
      </c>
      <c r="F63" s="254" t="str">
        <f t="shared" si="6"/>
        <v/>
      </c>
      <c r="G63" s="255" t="str">
        <f t="shared" si="7"/>
        <v/>
      </c>
      <c r="H63" s="256" t="str">
        <f t="shared" si="8"/>
        <v/>
      </c>
      <c r="J63" s="322" t="str">
        <f t="shared" si="9"/>
        <v/>
      </c>
      <c r="K63" s="257" t="str">
        <f t="shared" si="10"/>
        <v/>
      </c>
      <c r="BK63" t="s">
        <v>262</v>
      </c>
      <c r="BL63" t="s">
        <v>263</v>
      </c>
      <c r="BM63" t="s">
        <v>27</v>
      </c>
      <c r="BR63" s="339" t="str">
        <f t="shared" si="11"/>
        <v>Sly1</v>
      </c>
      <c r="BS63" s="339" t="s">
        <v>534</v>
      </c>
      <c r="BT63" s="340">
        <v>44836.394733796296</v>
      </c>
      <c r="BU63" s="339">
        <v>0</v>
      </c>
      <c r="BV63" s="339">
        <v>100</v>
      </c>
      <c r="BW63" s="339">
        <v>0</v>
      </c>
      <c r="BX63" s="339">
        <v>-100</v>
      </c>
      <c r="BY63" s="339">
        <v>-100</v>
      </c>
      <c r="BZ63" s="339" t="s">
        <v>525</v>
      </c>
      <c r="CA63" s="339">
        <v>0</v>
      </c>
      <c r="CB63" s="339"/>
    </row>
    <row r="64" spans="3:80" ht="18">
      <c r="C64" s="251" t="str">
        <f t="shared" si="3"/>
        <v/>
      </c>
      <c r="D64" s="252" t="str">
        <f t="shared" si="4"/>
        <v/>
      </c>
      <c r="E64" s="253" t="str">
        <f t="shared" si="5"/>
        <v/>
      </c>
      <c r="F64" s="254" t="str">
        <f t="shared" si="6"/>
        <v/>
      </c>
      <c r="G64" s="255" t="str">
        <f t="shared" si="7"/>
        <v/>
      </c>
      <c r="H64" s="256" t="str">
        <f t="shared" si="8"/>
        <v/>
      </c>
      <c r="J64" s="322" t="str">
        <f t="shared" si="9"/>
        <v/>
      </c>
      <c r="K64" s="257" t="str">
        <f t="shared" si="10"/>
        <v/>
      </c>
      <c r="BK64" t="s">
        <v>457</v>
      </c>
      <c r="BL64" t="s">
        <v>483</v>
      </c>
      <c r="BM64" t="s">
        <v>17</v>
      </c>
      <c r="BR64" s="339" t="str">
        <f t="shared" si="11"/>
        <v>stew</v>
      </c>
      <c r="BS64" s="339" t="s">
        <v>533</v>
      </c>
      <c r="BT64" s="340">
        <v>44781.70034722222</v>
      </c>
      <c r="BU64" s="339">
        <v>313</v>
      </c>
      <c r="BV64" s="339">
        <v>90</v>
      </c>
      <c r="BW64" s="339">
        <v>0</v>
      </c>
      <c r="BX64" s="339">
        <v>-90</v>
      </c>
      <c r="BY64" s="339">
        <v>-90</v>
      </c>
      <c r="BZ64" s="339" t="s">
        <v>525</v>
      </c>
      <c r="CA64" s="339">
        <v>0</v>
      </c>
    </row>
    <row r="65" spans="3:65">
      <c r="C65" s="251" t="str">
        <f t="shared" si="3"/>
        <v/>
      </c>
      <c r="D65" s="252" t="str">
        <f t="shared" si="4"/>
        <v/>
      </c>
      <c r="E65" s="253" t="str">
        <f t="shared" si="5"/>
        <v/>
      </c>
      <c r="F65" s="254" t="str">
        <f t="shared" si="6"/>
        <v/>
      </c>
      <c r="G65" s="255" t="str">
        <f t="shared" si="7"/>
        <v/>
      </c>
      <c r="H65" s="256" t="str">
        <f t="shared" si="8"/>
        <v/>
      </c>
      <c r="J65" s="322" t="str">
        <f t="shared" si="9"/>
        <v/>
      </c>
      <c r="K65" s="257" t="str">
        <f t="shared" si="10"/>
        <v/>
      </c>
      <c r="BK65" t="s">
        <v>451</v>
      </c>
      <c r="BL65" t="s">
        <v>452</v>
      </c>
      <c r="BM65" t="s">
        <v>17</v>
      </c>
    </row>
    <row r="66" spans="3:65">
      <c r="C66" s="251" t="str">
        <f t="shared" si="3"/>
        <v/>
      </c>
      <c r="D66" s="252" t="str">
        <f t="shared" si="4"/>
        <v/>
      </c>
      <c r="E66" s="253" t="str">
        <f t="shared" si="5"/>
        <v/>
      </c>
      <c r="F66" s="254" t="str">
        <f t="shared" si="6"/>
        <v/>
      </c>
      <c r="G66" s="255" t="str">
        <f t="shared" si="7"/>
        <v/>
      </c>
      <c r="H66" s="256" t="str">
        <f t="shared" si="8"/>
        <v/>
      </c>
      <c r="J66" s="322" t="str">
        <f t="shared" si="9"/>
        <v/>
      </c>
      <c r="K66" s="257" t="str">
        <f t="shared" si="10"/>
        <v/>
      </c>
      <c r="BK66" t="s">
        <v>440</v>
      </c>
      <c r="BL66" t="s">
        <v>477</v>
      </c>
      <c r="BM66" t="s">
        <v>40</v>
      </c>
    </row>
    <row r="67" spans="3:65">
      <c r="C67" s="251" t="str">
        <f t="shared" si="3"/>
        <v/>
      </c>
      <c r="D67" s="252" t="str">
        <f t="shared" si="4"/>
        <v/>
      </c>
      <c r="E67" s="253" t="str">
        <f t="shared" si="5"/>
        <v/>
      </c>
      <c r="F67" s="254" t="str">
        <f t="shared" si="6"/>
        <v/>
      </c>
      <c r="G67" s="255" t="str">
        <f t="shared" si="7"/>
        <v/>
      </c>
      <c r="H67" s="256" t="str">
        <f t="shared" si="8"/>
        <v/>
      </c>
      <c r="J67" s="322" t="str">
        <f t="shared" si="9"/>
        <v/>
      </c>
      <c r="K67" s="257" t="str">
        <f t="shared" si="10"/>
        <v/>
      </c>
      <c r="BK67" t="s">
        <v>487</v>
      </c>
      <c r="BL67" t="s">
        <v>488</v>
      </c>
      <c r="BM67" t="s">
        <v>17</v>
      </c>
    </row>
    <row r="68" spans="3:65">
      <c r="C68" s="251" t="str">
        <f t="shared" si="3"/>
        <v/>
      </c>
      <c r="D68" s="252" t="str">
        <f t="shared" si="4"/>
        <v/>
      </c>
      <c r="E68" s="253" t="str">
        <f t="shared" si="5"/>
        <v/>
      </c>
      <c r="F68" s="254" t="str">
        <f t="shared" si="6"/>
        <v/>
      </c>
      <c r="G68" s="255" t="str">
        <f t="shared" si="7"/>
        <v/>
      </c>
      <c r="H68" s="256" t="str">
        <f t="shared" si="8"/>
        <v/>
      </c>
      <c r="J68" s="322" t="str">
        <f t="shared" si="9"/>
        <v/>
      </c>
      <c r="K68" s="257" t="str">
        <f t="shared" si="10"/>
        <v/>
      </c>
      <c r="BK68" t="s">
        <v>484</v>
      </c>
      <c r="BL68" t="s">
        <v>486</v>
      </c>
      <c r="BM68" t="s">
        <v>40</v>
      </c>
    </row>
    <row r="69" spans="3:65" ht="17" thickBot="1">
      <c r="C69" s="258" t="str">
        <f t="shared" si="3"/>
        <v/>
      </c>
      <c r="D69" s="259" t="str">
        <f t="shared" si="4"/>
        <v/>
      </c>
      <c r="E69" s="260" t="str">
        <f t="shared" si="5"/>
        <v/>
      </c>
      <c r="F69" s="261" t="str">
        <f t="shared" si="6"/>
        <v/>
      </c>
      <c r="G69" s="262" t="str">
        <f t="shared" si="7"/>
        <v/>
      </c>
      <c r="H69" s="263" t="str">
        <f t="shared" si="8"/>
        <v/>
      </c>
      <c r="J69" s="323" t="str">
        <f t="shared" si="9"/>
        <v/>
      </c>
      <c r="K69" s="264" t="str">
        <f t="shared" si="10"/>
        <v/>
      </c>
      <c r="BK69" t="s">
        <v>498</v>
      </c>
      <c r="BL69" t="s">
        <v>499</v>
      </c>
      <c r="BM69" t="s">
        <v>17</v>
      </c>
    </row>
    <row r="70" spans="3:65">
      <c r="BK70" t="s">
        <v>500</v>
      </c>
      <c r="BL70" t="s">
        <v>501</v>
      </c>
      <c r="BM70" t="s">
        <v>27</v>
      </c>
    </row>
    <row r="71" spans="3:65">
      <c r="BK71" t="s">
        <v>502</v>
      </c>
      <c r="BL71" t="s">
        <v>503</v>
      </c>
      <c r="BM71" t="s">
        <v>17</v>
      </c>
    </row>
    <row r="72" spans="3:65">
      <c r="BK72" t="s">
        <v>504</v>
      </c>
      <c r="BL72" t="s">
        <v>505</v>
      </c>
      <c r="BM72" t="s">
        <v>27</v>
      </c>
    </row>
    <row r="73" spans="3:65">
      <c r="BK73" t="s">
        <v>517</v>
      </c>
      <c r="BL73" t="s">
        <v>518</v>
      </c>
      <c r="BM73" t="s">
        <v>27</v>
      </c>
    </row>
    <row r="74" spans="3:65">
      <c r="BK74" t="s">
        <v>512</v>
      </c>
      <c r="BL74" t="s">
        <v>513</v>
      </c>
      <c r="BM74" t="s">
        <v>27</v>
      </c>
    </row>
  </sheetData>
  <autoFilter ref="BR5:CA64" xr:uid="{22BA02FD-433D-8B47-92C6-2B5D2ED0DC43}">
    <sortState xmlns:xlrd2="http://schemas.microsoft.com/office/spreadsheetml/2017/richdata2" ref="BR6:CA64">
      <sortCondition descending="1" ref="BV5:BV64"/>
    </sortState>
  </autoFilter>
  <mergeCells count="4">
    <mergeCell ref="C8:D8"/>
    <mergeCell ref="E8:F8"/>
    <mergeCell ref="G8:H8"/>
    <mergeCell ref="J8:K8"/>
  </mergeCells>
  <pageMargins left="0.7" right="0.7" top="0.75" bottom="0.75" header="0.3" footer="0.3"/>
  <pageSetup orientation="portrait" horizontalDpi="0" verticalDpi="0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CB59-6C1A-7D4F-84CA-D00399266482}">
  <dimension ref="B1:Q146"/>
  <sheetViews>
    <sheetView showGridLines="0" zoomScale="60" zoomScaleNormal="60" workbookViewId="0">
      <selection activeCell="B14" sqref="B14"/>
    </sheetView>
  </sheetViews>
  <sheetFormatPr baseColWidth="10" defaultRowHeight="16"/>
  <cols>
    <col min="2" max="2" width="8" bestFit="1" customWidth="1"/>
    <col min="3" max="3" width="11.33203125" bestFit="1" customWidth="1"/>
    <col min="4" max="4" width="16.6640625" bestFit="1" customWidth="1"/>
    <col min="5" max="5" width="17" bestFit="1" customWidth="1"/>
    <col min="6" max="6" width="7.83203125" bestFit="1" customWidth="1"/>
    <col min="7" max="7" width="18.33203125" bestFit="1" customWidth="1"/>
    <col min="8" max="8" width="8.83203125" bestFit="1" customWidth="1"/>
    <col min="9" max="9" width="12.1640625" bestFit="1" customWidth="1"/>
    <col min="10" max="10" width="23.6640625" bestFit="1" customWidth="1"/>
    <col min="11" max="11" width="25.33203125" bestFit="1" customWidth="1"/>
    <col min="12" max="12" width="12.1640625" bestFit="1" customWidth="1"/>
    <col min="13" max="13" width="9.1640625" bestFit="1" customWidth="1"/>
    <col min="14" max="14" width="22.1640625" bestFit="1" customWidth="1"/>
  </cols>
  <sheetData>
    <row r="1" spans="2:17">
      <c r="O1" t="s">
        <v>443</v>
      </c>
      <c r="P1">
        <v>21013</v>
      </c>
    </row>
    <row r="3" spans="2:17" s="199" customFormat="1" ht="19">
      <c r="B3" s="200" t="s">
        <v>2</v>
      </c>
      <c r="C3" s="200" t="s">
        <v>275</v>
      </c>
      <c r="D3" s="200" t="s">
        <v>3</v>
      </c>
      <c r="E3" s="200" t="s">
        <v>276</v>
      </c>
      <c r="F3" s="200" t="s">
        <v>277</v>
      </c>
      <c r="G3" s="200" t="s">
        <v>278</v>
      </c>
      <c r="H3" s="200" t="s">
        <v>279</v>
      </c>
      <c r="I3" s="200" t="s">
        <v>280</v>
      </c>
      <c r="J3" s="200" t="s">
        <v>281</v>
      </c>
      <c r="K3" s="200" t="s">
        <v>282</v>
      </c>
      <c r="L3" s="200" t="s">
        <v>283</v>
      </c>
      <c r="M3" s="200" t="s">
        <v>284</v>
      </c>
      <c r="N3" s="200" t="s">
        <v>285</v>
      </c>
      <c r="Q3" s="199" t="s">
        <v>400</v>
      </c>
    </row>
    <row r="4" spans="2:17" ht="17">
      <c r="B4" s="204" t="s">
        <v>286</v>
      </c>
      <c r="C4" s="201" t="s">
        <v>287</v>
      </c>
      <c r="D4" s="201">
        <v>1</v>
      </c>
      <c r="E4" s="201">
        <v>0</v>
      </c>
      <c r="F4" s="201">
        <v>0</v>
      </c>
      <c r="G4" s="202">
        <v>1000</v>
      </c>
      <c r="H4" s="201">
        <v>-200</v>
      </c>
      <c r="I4" s="202">
        <v>1000</v>
      </c>
      <c r="J4" s="201" t="s">
        <v>288</v>
      </c>
      <c r="K4" s="201" t="s">
        <v>288</v>
      </c>
      <c r="L4" s="201" t="s">
        <v>289</v>
      </c>
      <c r="M4" s="201" t="s">
        <v>290</v>
      </c>
      <c r="N4" s="201" t="s">
        <v>291</v>
      </c>
    </row>
    <row r="5" spans="2:17" ht="17">
      <c r="B5" s="204" t="s">
        <v>55</v>
      </c>
      <c r="C5" s="201" t="s">
        <v>292</v>
      </c>
      <c r="D5" s="201" t="s">
        <v>56</v>
      </c>
      <c r="E5" s="201">
        <v>0</v>
      </c>
      <c r="F5" s="201">
        <v>0</v>
      </c>
      <c r="G5" s="202">
        <v>1000</v>
      </c>
      <c r="H5" s="201">
        <v>-416</v>
      </c>
      <c r="I5" s="202">
        <v>1000</v>
      </c>
      <c r="J5" s="201" t="s">
        <v>288</v>
      </c>
      <c r="K5" s="201" t="s">
        <v>288</v>
      </c>
      <c r="L5" s="203">
        <v>44502</v>
      </c>
      <c r="M5" s="201" t="s">
        <v>290</v>
      </c>
      <c r="N5" s="201" t="s">
        <v>291</v>
      </c>
      <c r="Q5" t="s">
        <v>401</v>
      </c>
    </row>
    <row r="6" spans="2:17" ht="17">
      <c r="B6" s="204" t="s">
        <v>43</v>
      </c>
      <c r="C6" s="201" t="s">
        <v>293</v>
      </c>
      <c r="D6" s="201" t="s">
        <v>44</v>
      </c>
      <c r="E6" s="201">
        <v>0</v>
      </c>
      <c r="F6" s="201">
        <v>0</v>
      </c>
      <c r="G6" s="202">
        <v>2000</v>
      </c>
      <c r="H6" s="202">
        <v>-5127</v>
      </c>
      <c r="I6" s="202">
        <v>2000</v>
      </c>
      <c r="J6" s="201" t="s">
        <v>294</v>
      </c>
      <c r="K6" s="201" t="s">
        <v>295</v>
      </c>
      <c r="L6" s="203">
        <v>44357</v>
      </c>
      <c r="M6" s="201" t="s">
        <v>290</v>
      </c>
      <c r="N6" s="201" t="s">
        <v>291</v>
      </c>
      <c r="Q6" t="s">
        <v>402</v>
      </c>
    </row>
    <row r="7" spans="2:17" ht="17">
      <c r="B7" s="204" t="s">
        <v>21</v>
      </c>
      <c r="C7" s="201" t="s">
        <v>296</v>
      </c>
      <c r="D7" s="201" t="s">
        <v>22</v>
      </c>
      <c r="E7" s="201">
        <v>56</v>
      </c>
      <c r="F7" s="201">
        <v>96</v>
      </c>
      <c r="G7" s="201">
        <v>960</v>
      </c>
      <c r="H7" s="202">
        <v>-3015</v>
      </c>
      <c r="I7" s="202">
        <v>1000</v>
      </c>
      <c r="J7" s="201" t="s">
        <v>288</v>
      </c>
      <c r="K7" s="201" t="s">
        <v>288</v>
      </c>
      <c r="L7" s="203">
        <v>44502</v>
      </c>
      <c r="M7" s="201" t="s">
        <v>290</v>
      </c>
      <c r="N7" s="201" t="s">
        <v>291</v>
      </c>
      <c r="Q7" t="s">
        <v>403</v>
      </c>
    </row>
    <row r="8" spans="2:17" ht="17">
      <c r="B8" s="204" t="s">
        <v>45</v>
      </c>
      <c r="C8" s="201" t="s">
        <v>297</v>
      </c>
      <c r="D8" s="201" t="s">
        <v>46</v>
      </c>
      <c r="E8" s="201">
        <v>-30</v>
      </c>
      <c r="F8" s="201">
        <v>215</v>
      </c>
      <c r="G8" s="201">
        <v>505</v>
      </c>
      <c r="H8" s="202">
        <v>-1388</v>
      </c>
      <c r="I8" s="201">
        <v>750</v>
      </c>
      <c r="J8" s="201" t="s">
        <v>294</v>
      </c>
      <c r="K8" s="201" t="s">
        <v>298</v>
      </c>
      <c r="L8" s="203">
        <v>44502</v>
      </c>
      <c r="M8" s="201" t="s">
        <v>290</v>
      </c>
      <c r="N8" s="201" t="s">
        <v>291</v>
      </c>
      <c r="Q8" t="s">
        <v>439</v>
      </c>
    </row>
    <row r="9" spans="2:17" ht="17">
      <c r="B9" s="204" t="s">
        <v>61</v>
      </c>
      <c r="C9" s="201" t="s">
        <v>299</v>
      </c>
      <c r="D9" s="201" t="s">
        <v>62</v>
      </c>
      <c r="E9" s="201">
        <v>0</v>
      </c>
      <c r="F9" s="201">
        <v>280</v>
      </c>
      <c r="G9" s="202">
        <v>1020</v>
      </c>
      <c r="H9" s="202">
        <v>1232</v>
      </c>
      <c r="I9" s="202">
        <v>1300</v>
      </c>
      <c r="J9" s="201" t="s">
        <v>300</v>
      </c>
      <c r="K9" s="201" t="s">
        <v>300</v>
      </c>
      <c r="L9" s="203">
        <v>44498</v>
      </c>
      <c r="M9" s="201" t="s">
        <v>290</v>
      </c>
      <c r="N9" s="201" t="s">
        <v>291</v>
      </c>
    </row>
    <row r="10" spans="2:17" ht="17">
      <c r="B10" s="204" t="s">
        <v>30</v>
      </c>
      <c r="C10" s="201" t="s">
        <v>301</v>
      </c>
      <c r="D10" s="201" t="s">
        <v>31</v>
      </c>
      <c r="E10" s="201">
        <v>-170</v>
      </c>
      <c r="F10" s="202">
        <v>2380</v>
      </c>
      <c r="G10" s="202">
        <v>1250</v>
      </c>
      <c r="H10" s="202">
        <v>-13088</v>
      </c>
      <c r="I10" s="202">
        <v>3800</v>
      </c>
      <c r="J10" s="201" t="s">
        <v>298</v>
      </c>
      <c r="K10" s="201" t="s">
        <v>298</v>
      </c>
      <c r="L10" s="203">
        <v>44502</v>
      </c>
      <c r="M10" s="201" t="s">
        <v>290</v>
      </c>
      <c r="N10" s="201" t="s">
        <v>291</v>
      </c>
      <c r="Q10" t="s">
        <v>404</v>
      </c>
    </row>
    <row r="11" spans="2:17" ht="17">
      <c r="B11" s="204" t="s">
        <v>51</v>
      </c>
      <c r="C11" s="201" t="s">
        <v>302</v>
      </c>
      <c r="D11" s="201" t="s">
        <v>52</v>
      </c>
      <c r="E11" s="201">
        <v>0</v>
      </c>
      <c r="F11" s="201">
        <v>0</v>
      </c>
      <c r="G11" s="202">
        <v>1500</v>
      </c>
      <c r="H11" s="202">
        <v>-4135</v>
      </c>
      <c r="I11" s="202">
        <v>1500</v>
      </c>
      <c r="J11" s="201" t="s">
        <v>303</v>
      </c>
      <c r="K11" s="201" t="s">
        <v>303</v>
      </c>
      <c r="L11" s="203">
        <v>44383</v>
      </c>
      <c r="M11" s="201" t="s">
        <v>290</v>
      </c>
      <c r="N11" s="201" t="s">
        <v>304</v>
      </c>
      <c r="Q11" t="s">
        <v>400</v>
      </c>
    </row>
    <row r="12" spans="2:17" ht="17">
      <c r="B12" s="204" t="s">
        <v>28</v>
      </c>
      <c r="C12" s="201" t="s">
        <v>305</v>
      </c>
      <c r="D12" s="201" t="s">
        <v>29</v>
      </c>
      <c r="E12" s="201">
        <v>0</v>
      </c>
      <c r="F12" s="201">
        <v>900</v>
      </c>
      <c r="G12" s="201">
        <v>850</v>
      </c>
      <c r="H12" s="201">
        <v>-398</v>
      </c>
      <c r="I12" s="202">
        <v>1750</v>
      </c>
      <c r="J12" s="201" t="s">
        <v>298</v>
      </c>
      <c r="K12" s="201" t="s">
        <v>298</v>
      </c>
      <c r="L12" s="203">
        <v>44500</v>
      </c>
      <c r="M12" s="201" t="s">
        <v>290</v>
      </c>
      <c r="N12" s="201" t="s">
        <v>291</v>
      </c>
    </row>
    <row r="13" spans="2:17" ht="17">
      <c r="B13" s="204" t="s">
        <v>69</v>
      </c>
      <c r="C13" s="201" t="s">
        <v>306</v>
      </c>
      <c r="D13" s="201" t="s">
        <v>39</v>
      </c>
      <c r="E13" s="201">
        <v>-595</v>
      </c>
      <c r="F13" s="201">
        <v>200</v>
      </c>
      <c r="G13" s="202">
        <v>1955</v>
      </c>
      <c r="H13" s="202">
        <v>-2932</v>
      </c>
      <c r="I13" s="202">
        <v>2750</v>
      </c>
      <c r="J13" s="201" t="s">
        <v>298</v>
      </c>
      <c r="K13" s="201" t="s">
        <v>298</v>
      </c>
      <c r="L13" s="203">
        <v>44502</v>
      </c>
      <c r="M13" s="201" t="s">
        <v>290</v>
      </c>
      <c r="N13" s="201" t="s">
        <v>304</v>
      </c>
      <c r="Q13" t="s">
        <v>401</v>
      </c>
    </row>
    <row r="14" spans="2:17" ht="17">
      <c r="B14" s="204" t="s">
        <v>7</v>
      </c>
      <c r="C14" s="201" t="s">
        <v>307</v>
      </c>
      <c r="D14" s="201" t="s">
        <v>8</v>
      </c>
      <c r="E14" s="201">
        <v>0</v>
      </c>
      <c r="F14" s="201">
        <v>0</v>
      </c>
      <c r="G14" s="201">
        <v>300</v>
      </c>
      <c r="H14" s="201">
        <v>-64</v>
      </c>
      <c r="I14" s="201">
        <v>300</v>
      </c>
      <c r="J14" s="201" t="s">
        <v>298</v>
      </c>
      <c r="K14" s="201" t="s">
        <v>298</v>
      </c>
      <c r="L14" s="203">
        <v>44458</v>
      </c>
      <c r="M14" s="201" t="s">
        <v>290</v>
      </c>
      <c r="N14" s="201" t="s">
        <v>291</v>
      </c>
      <c r="Q14" t="s">
        <v>402</v>
      </c>
    </row>
    <row r="15" spans="2:17" ht="17">
      <c r="B15" s="204" t="s">
        <v>224</v>
      </c>
      <c r="C15" s="201" t="s">
        <v>308</v>
      </c>
      <c r="D15" s="201" t="s">
        <v>225</v>
      </c>
      <c r="E15" s="201">
        <v>0</v>
      </c>
      <c r="F15" s="201">
        <v>90</v>
      </c>
      <c r="G15" s="201">
        <v>410</v>
      </c>
      <c r="H15" s="202">
        <v>1341</v>
      </c>
      <c r="I15" s="201">
        <v>500</v>
      </c>
      <c r="J15" s="201" t="s">
        <v>298</v>
      </c>
      <c r="K15" s="201" t="s">
        <v>298</v>
      </c>
      <c r="L15" s="203">
        <v>44486</v>
      </c>
      <c r="M15" s="201" t="s">
        <v>290</v>
      </c>
      <c r="N15" s="201" t="s">
        <v>291</v>
      </c>
      <c r="Q15" t="s">
        <v>405</v>
      </c>
    </row>
    <row r="16" spans="2:17" ht="17">
      <c r="B16" s="204" t="s">
        <v>111</v>
      </c>
      <c r="C16" s="201" t="s">
        <v>309</v>
      </c>
      <c r="D16" s="201" t="s">
        <v>112</v>
      </c>
      <c r="E16" s="201">
        <v>0</v>
      </c>
      <c r="F16" s="201">
        <v>0</v>
      </c>
      <c r="G16" s="201">
        <v>750</v>
      </c>
      <c r="H16" s="201">
        <v>964</v>
      </c>
      <c r="I16" s="201">
        <v>750</v>
      </c>
      <c r="J16" s="201" t="s">
        <v>310</v>
      </c>
      <c r="K16" s="201" t="s">
        <v>310</v>
      </c>
      <c r="L16" s="203">
        <v>44486</v>
      </c>
      <c r="M16" s="201" t="s">
        <v>290</v>
      </c>
      <c r="N16" s="201" t="s">
        <v>291</v>
      </c>
      <c r="Q16" t="s">
        <v>406</v>
      </c>
    </row>
    <row r="17" spans="2:17" ht="17">
      <c r="B17" s="204" t="s">
        <v>32</v>
      </c>
      <c r="C17" s="201" t="s">
        <v>311</v>
      </c>
      <c r="D17" s="201" t="s">
        <v>33</v>
      </c>
      <c r="E17" s="201">
        <v>-170</v>
      </c>
      <c r="F17" s="201">
        <v>238</v>
      </c>
      <c r="G17" s="201">
        <v>992</v>
      </c>
      <c r="H17" s="202">
        <v>-2262</v>
      </c>
      <c r="I17" s="202">
        <v>1400</v>
      </c>
      <c r="J17" s="201" t="s">
        <v>298</v>
      </c>
      <c r="K17" s="201" t="s">
        <v>312</v>
      </c>
      <c r="L17" s="203">
        <v>44501</v>
      </c>
      <c r="M17" s="201" t="s">
        <v>290</v>
      </c>
      <c r="N17" s="201" t="s">
        <v>291</v>
      </c>
    </row>
    <row r="18" spans="2:17" ht="17">
      <c r="B18" s="204" t="s">
        <v>23</v>
      </c>
      <c r="C18" s="201" t="s">
        <v>313</v>
      </c>
      <c r="D18" s="201" t="s">
        <v>24</v>
      </c>
      <c r="E18" s="201">
        <v>0</v>
      </c>
      <c r="F18" s="201">
        <v>230</v>
      </c>
      <c r="G18" s="201">
        <v>570</v>
      </c>
      <c r="H18" s="202">
        <v>-3854</v>
      </c>
      <c r="I18" s="201">
        <v>800</v>
      </c>
      <c r="J18" s="201" t="s">
        <v>298</v>
      </c>
      <c r="K18" s="201" t="s">
        <v>298</v>
      </c>
      <c r="L18" s="203">
        <v>44502</v>
      </c>
      <c r="M18" s="201" t="s">
        <v>290</v>
      </c>
      <c r="N18" s="201" t="s">
        <v>304</v>
      </c>
      <c r="Q18" t="s">
        <v>404</v>
      </c>
    </row>
    <row r="19" spans="2:17" ht="17">
      <c r="B19" s="204" t="s">
        <v>113</v>
      </c>
      <c r="C19" s="201" t="s">
        <v>314</v>
      </c>
      <c r="D19" s="201" t="s">
        <v>114</v>
      </c>
      <c r="E19" s="201">
        <v>-21</v>
      </c>
      <c r="F19" s="201">
        <v>25</v>
      </c>
      <c r="G19" s="201">
        <v>454</v>
      </c>
      <c r="H19" s="201">
        <v>-146</v>
      </c>
      <c r="I19" s="201">
        <v>500</v>
      </c>
      <c r="J19" s="201" t="s">
        <v>303</v>
      </c>
      <c r="K19" s="201" t="s">
        <v>303</v>
      </c>
      <c r="L19" s="203">
        <v>44501</v>
      </c>
      <c r="M19" s="201" t="s">
        <v>290</v>
      </c>
      <c r="N19" s="201" t="s">
        <v>304</v>
      </c>
      <c r="Q19" t="s">
        <v>400</v>
      </c>
    </row>
    <row r="20" spans="2:17" ht="17">
      <c r="B20" s="204" t="s">
        <v>41</v>
      </c>
      <c r="C20" s="201" t="s">
        <v>315</v>
      </c>
      <c r="D20" s="201" t="s">
        <v>115</v>
      </c>
      <c r="E20" s="201">
        <v>0</v>
      </c>
      <c r="F20" s="201">
        <v>0</v>
      </c>
      <c r="G20" s="202">
        <v>1000</v>
      </c>
      <c r="H20" s="201">
        <v>-110</v>
      </c>
      <c r="I20" s="202">
        <v>1000</v>
      </c>
      <c r="J20" s="201" t="s">
        <v>316</v>
      </c>
      <c r="K20" s="201" t="s">
        <v>316</v>
      </c>
      <c r="L20" s="203">
        <v>44500</v>
      </c>
      <c r="M20" s="201" t="s">
        <v>290</v>
      </c>
      <c r="N20" s="201" t="s">
        <v>291</v>
      </c>
    </row>
    <row r="21" spans="2:17" ht="17">
      <c r="B21" s="204" t="s">
        <v>34</v>
      </c>
      <c r="C21" s="201" t="s">
        <v>317</v>
      </c>
      <c r="D21" s="201" t="s">
        <v>35</v>
      </c>
      <c r="E21" s="201">
        <v>0</v>
      </c>
      <c r="F21" s="201">
        <v>755</v>
      </c>
      <c r="G21" s="202">
        <v>1245</v>
      </c>
      <c r="H21" s="202">
        <v>-5515</v>
      </c>
      <c r="I21" s="202">
        <v>2000</v>
      </c>
      <c r="J21" s="201" t="s">
        <v>316</v>
      </c>
      <c r="K21" s="201" t="s">
        <v>316</v>
      </c>
      <c r="L21" s="203">
        <v>44500</v>
      </c>
      <c r="M21" s="201" t="s">
        <v>290</v>
      </c>
      <c r="N21" s="201" t="s">
        <v>291</v>
      </c>
      <c r="Q21" t="s">
        <v>401</v>
      </c>
    </row>
    <row r="22" spans="2:17" ht="17">
      <c r="B22" s="204" t="s">
        <v>57</v>
      </c>
      <c r="C22" s="201" t="s">
        <v>318</v>
      </c>
      <c r="D22" s="201" t="s">
        <v>58</v>
      </c>
      <c r="E22" s="201">
        <v>0</v>
      </c>
      <c r="F22" s="201">
        <v>0</v>
      </c>
      <c r="G22" s="201">
        <v>500</v>
      </c>
      <c r="H22" s="201">
        <v>-440</v>
      </c>
      <c r="I22" s="201">
        <v>500</v>
      </c>
      <c r="J22" s="201" t="s">
        <v>303</v>
      </c>
      <c r="K22" s="201" t="s">
        <v>303</v>
      </c>
      <c r="L22" s="203">
        <v>44430</v>
      </c>
      <c r="M22" s="201" t="s">
        <v>290</v>
      </c>
      <c r="N22" s="201" t="s">
        <v>304</v>
      </c>
      <c r="Q22" t="s">
        <v>402</v>
      </c>
    </row>
    <row r="23" spans="2:17" ht="17">
      <c r="B23" s="204" t="s">
        <v>116</v>
      </c>
      <c r="C23" s="201" t="s">
        <v>319</v>
      </c>
      <c r="D23" s="201" t="s">
        <v>117</v>
      </c>
      <c r="E23" s="201">
        <v>0</v>
      </c>
      <c r="F23" s="201">
        <v>0</v>
      </c>
      <c r="G23" s="201">
        <v>500</v>
      </c>
      <c r="H23" s="201">
        <v>-819</v>
      </c>
      <c r="I23" s="201">
        <v>500</v>
      </c>
      <c r="J23" s="201" t="s">
        <v>320</v>
      </c>
      <c r="K23" s="201" t="s">
        <v>298</v>
      </c>
      <c r="L23" s="203">
        <v>44478</v>
      </c>
      <c r="M23" s="201" t="s">
        <v>290</v>
      </c>
      <c r="N23" s="201" t="s">
        <v>291</v>
      </c>
      <c r="Q23" t="s">
        <v>407</v>
      </c>
    </row>
    <row r="24" spans="2:17" ht="17">
      <c r="B24" s="204" t="s">
        <v>321</v>
      </c>
      <c r="C24" s="201" t="s">
        <v>322</v>
      </c>
      <c r="D24" s="201" t="s">
        <v>105</v>
      </c>
      <c r="E24" s="201">
        <v>0</v>
      </c>
      <c r="F24" s="201">
        <v>0</v>
      </c>
      <c r="G24" s="201">
        <v>500</v>
      </c>
      <c r="H24" s="202">
        <v>-1532</v>
      </c>
      <c r="I24" s="201">
        <v>500</v>
      </c>
      <c r="J24" s="201" t="s">
        <v>303</v>
      </c>
      <c r="K24" s="201" t="s">
        <v>303</v>
      </c>
      <c r="L24" s="203">
        <v>44500</v>
      </c>
      <c r="M24" s="201" t="s">
        <v>290</v>
      </c>
      <c r="N24" s="201" t="s">
        <v>304</v>
      </c>
      <c r="Q24" t="s">
        <v>408</v>
      </c>
    </row>
    <row r="25" spans="2:17" ht="17">
      <c r="B25" s="204" t="s">
        <v>323</v>
      </c>
      <c r="C25" s="201" t="s">
        <v>324</v>
      </c>
      <c r="D25" s="201" t="s">
        <v>123</v>
      </c>
      <c r="E25" s="201">
        <v>0</v>
      </c>
      <c r="F25" s="201">
        <v>0</v>
      </c>
      <c r="G25" s="202">
        <v>1000</v>
      </c>
      <c r="H25" s="201">
        <v>-411</v>
      </c>
      <c r="I25" s="202">
        <v>1000</v>
      </c>
      <c r="J25" s="201" t="s">
        <v>303</v>
      </c>
      <c r="K25" s="201" t="s">
        <v>303</v>
      </c>
      <c r="L25" s="203">
        <v>44500</v>
      </c>
      <c r="M25" s="201" t="s">
        <v>290</v>
      </c>
      <c r="N25" s="201" t="s">
        <v>291</v>
      </c>
    </row>
    <row r="26" spans="2:17" ht="17">
      <c r="B26" s="204" t="s">
        <v>325</v>
      </c>
      <c r="C26" s="201" t="s">
        <v>326</v>
      </c>
      <c r="D26" s="201" t="s">
        <v>37</v>
      </c>
      <c r="E26" s="201">
        <v>45</v>
      </c>
      <c r="F26" s="201">
        <v>0</v>
      </c>
      <c r="G26" s="201">
        <v>795</v>
      </c>
      <c r="H26" s="202">
        <v>-10091</v>
      </c>
      <c r="I26" s="201">
        <v>750</v>
      </c>
      <c r="J26" s="201" t="s">
        <v>316</v>
      </c>
      <c r="K26" s="201" t="s">
        <v>310</v>
      </c>
      <c r="L26" s="203">
        <v>44501</v>
      </c>
      <c r="M26" s="201" t="s">
        <v>290</v>
      </c>
      <c r="N26" s="201" t="s">
        <v>304</v>
      </c>
      <c r="Q26" t="s">
        <v>404</v>
      </c>
    </row>
    <row r="27" spans="2:17" ht="17">
      <c r="B27" s="204" t="s">
        <v>327</v>
      </c>
      <c r="C27" s="201" t="s">
        <v>328</v>
      </c>
      <c r="D27" s="201" t="s">
        <v>121</v>
      </c>
      <c r="E27" s="201">
        <v>0</v>
      </c>
      <c r="F27" s="201">
        <v>0</v>
      </c>
      <c r="G27" s="202">
        <v>1000</v>
      </c>
      <c r="H27" s="202">
        <v>-2169</v>
      </c>
      <c r="I27" s="202">
        <v>1000</v>
      </c>
      <c r="J27" s="201" t="s">
        <v>303</v>
      </c>
      <c r="K27" s="201" t="s">
        <v>303</v>
      </c>
      <c r="L27" s="203">
        <v>44483</v>
      </c>
      <c r="M27" s="201" t="s">
        <v>290</v>
      </c>
      <c r="N27" s="201" t="s">
        <v>291</v>
      </c>
      <c r="Q27" t="s">
        <v>400</v>
      </c>
    </row>
    <row r="28" spans="2:17" ht="17">
      <c r="B28" s="204" t="s">
        <v>329</v>
      </c>
      <c r="C28" s="201" t="s">
        <v>330</v>
      </c>
      <c r="D28" s="201" t="s">
        <v>48</v>
      </c>
      <c r="E28" s="201">
        <v>-60</v>
      </c>
      <c r="F28" s="201">
        <v>940</v>
      </c>
      <c r="G28" s="201">
        <v>0</v>
      </c>
      <c r="H28" s="202">
        <v>-9189</v>
      </c>
      <c r="I28" s="202">
        <v>1000</v>
      </c>
      <c r="J28" s="201" t="s">
        <v>303</v>
      </c>
      <c r="K28" s="201" t="s">
        <v>303</v>
      </c>
      <c r="L28" s="203">
        <v>44502</v>
      </c>
      <c r="M28" s="201" t="s">
        <v>290</v>
      </c>
      <c r="N28" s="201" t="s">
        <v>291</v>
      </c>
    </row>
    <row r="29" spans="2:17" ht="17">
      <c r="B29" s="204" t="s">
        <v>331</v>
      </c>
      <c r="C29" s="201" t="s">
        <v>332</v>
      </c>
      <c r="D29" s="201" t="s">
        <v>122</v>
      </c>
      <c r="E29" s="201">
        <v>-629</v>
      </c>
      <c r="F29" s="201">
        <v>0</v>
      </c>
      <c r="G29" s="201">
        <v>871</v>
      </c>
      <c r="H29" s="202">
        <v>-3665</v>
      </c>
      <c r="I29" s="202">
        <v>1500</v>
      </c>
      <c r="J29" s="201" t="s">
        <v>294</v>
      </c>
      <c r="K29" s="201" t="s">
        <v>294</v>
      </c>
      <c r="L29" s="203">
        <v>44500</v>
      </c>
      <c r="M29" s="201" t="s">
        <v>290</v>
      </c>
      <c r="N29" s="201" t="s">
        <v>291</v>
      </c>
      <c r="Q29" t="s">
        <v>401</v>
      </c>
    </row>
    <row r="30" spans="2:17" ht="17">
      <c r="B30" s="204" t="s">
        <v>333</v>
      </c>
      <c r="C30" s="201" t="s">
        <v>299</v>
      </c>
      <c r="D30" s="201" t="s">
        <v>64</v>
      </c>
      <c r="E30" s="201">
        <v>0</v>
      </c>
      <c r="F30" s="201">
        <v>160</v>
      </c>
      <c r="G30" s="201">
        <v>340</v>
      </c>
      <c r="H30" s="201">
        <v>-52</v>
      </c>
      <c r="I30" s="201">
        <v>500</v>
      </c>
      <c r="J30" s="201" t="s">
        <v>303</v>
      </c>
      <c r="K30" s="201" t="s">
        <v>303</v>
      </c>
      <c r="L30" s="203">
        <v>44492</v>
      </c>
      <c r="M30" s="201" t="s">
        <v>290</v>
      </c>
      <c r="N30" s="201" t="s">
        <v>291</v>
      </c>
      <c r="Q30" t="s">
        <v>402</v>
      </c>
    </row>
    <row r="31" spans="2:17" ht="17">
      <c r="B31" s="204" t="s">
        <v>334</v>
      </c>
      <c r="C31" s="201" t="s">
        <v>335</v>
      </c>
      <c r="D31" s="201" t="s">
        <v>125</v>
      </c>
      <c r="E31" s="201">
        <v>0</v>
      </c>
      <c r="F31" s="201">
        <v>0</v>
      </c>
      <c r="G31" s="201">
        <v>500</v>
      </c>
      <c r="H31" s="202">
        <v>-2448</v>
      </c>
      <c r="I31" s="201">
        <v>500</v>
      </c>
      <c r="J31" s="201" t="s">
        <v>294</v>
      </c>
      <c r="K31" s="201" t="s">
        <v>294</v>
      </c>
      <c r="L31" s="203">
        <v>44500</v>
      </c>
      <c r="M31" s="201" t="s">
        <v>290</v>
      </c>
      <c r="N31" s="201" t="s">
        <v>304</v>
      </c>
      <c r="Q31" t="s">
        <v>409</v>
      </c>
    </row>
    <row r="32" spans="2:17" ht="17">
      <c r="B32" s="204" t="s">
        <v>336</v>
      </c>
      <c r="C32" s="201" t="s">
        <v>337</v>
      </c>
      <c r="D32" s="201" t="s">
        <v>66</v>
      </c>
      <c r="E32" s="201">
        <v>0</v>
      </c>
      <c r="F32" s="201">
        <v>0</v>
      </c>
      <c r="G32" s="202">
        <v>1000</v>
      </c>
      <c r="H32" s="201">
        <v>-58</v>
      </c>
      <c r="I32" s="202">
        <v>1000</v>
      </c>
      <c r="J32" s="201" t="s">
        <v>303</v>
      </c>
      <c r="K32" s="201" t="s">
        <v>303</v>
      </c>
      <c r="L32" s="203">
        <v>44499</v>
      </c>
      <c r="M32" s="201" t="s">
        <v>290</v>
      </c>
      <c r="N32" s="201" t="s">
        <v>291</v>
      </c>
      <c r="Q32" t="s">
        <v>410</v>
      </c>
    </row>
    <row r="33" spans="2:17" ht="17">
      <c r="B33" s="204" t="s">
        <v>338</v>
      </c>
      <c r="C33" s="201" t="s">
        <v>339</v>
      </c>
      <c r="D33" s="201" t="s">
        <v>82</v>
      </c>
      <c r="E33" s="201">
        <v>0</v>
      </c>
      <c r="F33" s="201">
        <v>0</v>
      </c>
      <c r="G33" s="202">
        <v>1000</v>
      </c>
      <c r="H33" s="201">
        <v>381</v>
      </c>
      <c r="I33" s="202">
        <v>1000</v>
      </c>
      <c r="J33" s="201" t="s">
        <v>320</v>
      </c>
      <c r="K33" s="201" t="s">
        <v>303</v>
      </c>
      <c r="L33" s="203">
        <v>44500</v>
      </c>
      <c r="M33" s="201" t="s">
        <v>290</v>
      </c>
      <c r="N33" s="201" t="s">
        <v>304</v>
      </c>
    </row>
    <row r="34" spans="2:17" ht="17">
      <c r="B34" s="204" t="s">
        <v>340</v>
      </c>
      <c r="C34" s="201" t="s">
        <v>341</v>
      </c>
      <c r="D34" s="201" t="s">
        <v>119</v>
      </c>
      <c r="E34" s="201">
        <v>0</v>
      </c>
      <c r="F34" s="201">
        <v>0</v>
      </c>
      <c r="G34" s="201">
        <v>500</v>
      </c>
      <c r="H34" s="202">
        <v>-6696</v>
      </c>
      <c r="I34" s="201">
        <v>500</v>
      </c>
      <c r="J34" s="201" t="s">
        <v>320</v>
      </c>
      <c r="K34" s="201" t="s">
        <v>303</v>
      </c>
      <c r="L34" s="203">
        <v>44496</v>
      </c>
      <c r="M34" s="201" t="s">
        <v>290</v>
      </c>
      <c r="N34" s="201" t="s">
        <v>304</v>
      </c>
      <c r="Q34" t="s">
        <v>404</v>
      </c>
    </row>
    <row r="35" spans="2:17" ht="17">
      <c r="B35" s="204" t="s">
        <v>342</v>
      </c>
      <c r="C35" s="201" t="s">
        <v>343</v>
      </c>
      <c r="D35" s="201" t="s">
        <v>118</v>
      </c>
      <c r="E35" s="201">
        <v>0</v>
      </c>
      <c r="F35" s="201">
        <v>0</v>
      </c>
      <c r="G35" s="201">
        <v>900</v>
      </c>
      <c r="H35" s="202">
        <v>-1237</v>
      </c>
      <c r="I35" s="201">
        <v>900</v>
      </c>
      <c r="J35" s="201" t="s">
        <v>294</v>
      </c>
      <c r="K35" s="201" t="s">
        <v>294</v>
      </c>
      <c r="L35" s="203">
        <v>44443</v>
      </c>
      <c r="M35" s="201" t="s">
        <v>290</v>
      </c>
      <c r="N35" s="201" t="s">
        <v>304</v>
      </c>
      <c r="Q35" t="s">
        <v>400</v>
      </c>
    </row>
    <row r="36" spans="2:17" ht="17">
      <c r="B36" s="204" t="s">
        <v>344</v>
      </c>
      <c r="C36" s="201" t="s">
        <v>345</v>
      </c>
      <c r="D36" s="201" t="s">
        <v>50</v>
      </c>
      <c r="E36" s="201">
        <v>0</v>
      </c>
      <c r="F36" s="201">
        <v>0</v>
      </c>
      <c r="G36" s="202">
        <v>1000</v>
      </c>
      <c r="H36" s="202">
        <v>-8354</v>
      </c>
      <c r="I36" s="202">
        <v>1000</v>
      </c>
      <c r="J36" s="201" t="s">
        <v>300</v>
      </c>
      <c r="K36" s="201" t="s">
        <v>300</v>
      </c>
      <c r="L36" s="203">
        <v>44499</v>
      </c>
      <c r="M36" s="201" t="s">
        <v>290</v>
      </c>
      <c r="N36" s="201" t="s">
        <v>346</v>
      </c>
    </row>
    <row r="37" spans="2:17" ht="17">
      <c r="B37" s="204" t="s">
        <v>347</v>
      </c>
      <c r="C37" s="201" t="s">
        <v>348</v>
      </c>
      <c r="D37" s="201" t="s">
        <v>20</v>
      </c>
      <c r="E37" s="201">
        <v>-104</v>
      </c>
      <c r="F37" s="201">
        <v>240</v>
      </c>
      <c r="G37" s="201">
        <v>156</v>
      </c>
      <c r="H37" s="201">
        <v>-48</v>
      </c>
      <c r="I37" s="201">
        <v>500</v>
      </c>
      <c r="J37" s="201" t="s">
        <v>320</v>
      </c>
      <c r="K37" s="201" t="s">
        <v>303</v>
      </c>
      <c r="L37" s="203">
        <v>44501</v>
      </c>
      <c r="M37" s="201" t="s">
        <v>290</v>
      </c>
      <c r="N37" s="201" t="s">
        <v>304</v>
      </c>
      <c r="Q37" t="s">
        <v>401</v>
      </c>
    </row>
    <row r="38" spans="2:17" ht="17">
      <c r="B38" s="204" t="s">
        <v>349</v>
      </c>
      <c r="C38" s="201" t="s">
        <v>350</v>
      </c>
      <c r="D38" s="201" t="s">
        <v>80</v>
      </c>
      <c r="E38" s="201">
        <v>0</v>
      </c>
      <c r="F38" s="201">
        <v>0</v>
      </c>
      <c r="G38" s="201">
        <v>500</v>
      </c>
      <c r="H38" s="201">
        <v>-11</v>
      </c>
      <c r="I38" s="201">
        <v>500</v>
      </c>
      <c r="J38" s="201" t="s">
        <v>320</v>
      </c>
      <c r="K38" s="201" t="s">
        <v>303</v>
      </c>
      <c r="L38" s="203">
        <v>44462</v>
      </c>
      <c r="M38" s="201" t="s">
        <v>290</v>
      </c>
      <c r="N38" s="201" t="s">
        <v>304</v>
      </c>
      <c r="Q38" t="s">
        <v>402</v>
      </c>
    </row>
    <row r="39" spans="2:17" ht="17">
      <c r="B39" s="204" t="s">
        <v>351</v>
      </c>
      <c r="C39" s="201" t="s">
        <v>352</v>
      </c>
      <c r="D39" s="201" t="s">
        <v>26</v>
      </c>
      <c r="E39" s="201">
        <v>0</v>
      </c>
      <c r="F39" s="201">
        <v>35</v>
      </c>
      <c r="G39" s="201">
        <v>465</v>
      </c>
      <c r="H39" s="202">
        <v>-2861</v>
      </c>
      <c r="I39" s="201">
        <v>500</v>
      </c>
      <c r="J39" s="201" t="s">
        <v>320</v>
      </c>
      <c r="K39" s="201" t="s">
        <v>303</v>
      </c>
      <c r="L39" s="203">
        <v>44502</v>
      </c>
      <c r="M39" s="201" t="s">
        <v>290</v>
      </c>
      <c r="N39" s="201" t="s">
        <v>304</v>
      </c>
      <c r="Q39" t="s">
        <v>411</v>
      </c>
    </row>
    <row r="40" spans="2:17" ht="17">
      <c r="B40" s="204" t="s">
        <v>353</v>
      </c>
      <c r="C40" s="201" t="s">
        <v>354</v>
      </c>
      <c r="D40" s="201" t="s">
        <v>68</v>
      </c>
      <c r="E40" s="201">
        <v>0</v>
      </c>
      <c r="F40" s="201">
        <v>50</v>
      </c>
      <c r="G40" s="201">
        <v>450</v>
      </c>
      <c r="H40" s="202">
        <v>-1184</v>
      </c>
      <c r="I40" s="201">
        <v>500</v>
      </c>
      <c r="J40" s="201" t="s">
        <v>320</v>
      </c>
      <c r="K40" s="201" t="s">
        <v>303</v>
      </c>
      <c r="L40" s="203">
        <v>44500</v>
      </c>
      <c r="M40" s="201" t="s">
        <v>290</v>
      </c>
      <c r="N40" s="201" t="s">
        <v>304</v>
      </c>
      <c r="Q40" t="s">
        <v>412</v>
      </c>
    </row>
    <row r="41" spans="2:17" ht="17">
      <c r="B41" s="204" t="s">
        <v>355</v>
      </c>
      <c r="C41" s="201" t="s">
        <v>356</v>
      </c>
      <c r="D41" s="201" t="s">
        <v>110</v>
      </c>
      <c r="E41" s="201">
        <v>0</v>
      </c>
      <c r="F41" s="201">
        <v>20</v>
      </c>
      <c r="G41" s="202">
        <v>2480</v>
      </c>
      <c r="H41" s="201">
        <v>21</v>
      </c>
      <c r="I41" s="202">
        <v>2500</v>
      </c>
      <c r="J41" s="201" t="s">
        <v>298</v>
      </c>
      <c r="K41" s="201" t="s">
        <v>298</v>
      </c>
      <c r="L41" s="203">
        <v>44500</v>
      </c>
      <c r="M41" s="201" t="s">
        <v>290</v>
      </c>
      <c r="N41" s="201" t="s">
        <v>291</v>
      </c>
    </row>
    <row r="42" spans="2:17" ht="17">
      <c r="B42" s="204" t="s">
        <v>357</v>
      </c>
      <c r="C42" s="201" t="s">
        <v>358</v>
      </c>
      <c r="D42" s="201" t="s">
        <v>124</v>
      </c>
      <c r="E42" s="201">
        <v>0</v>
      </c>
      <c r="F42" s="201">
        <v>0</v>
      </c>
      <c r="G42" s="201">
        <v>200</v>
      </c>
      <c r="H42" s="201">
        <v>-358</v>
      </c>
      <c r="I42" s="201">
        <v>200</v>
      </c>
      <c r="J42" s="201" t="s">
        <v>359</v>
      </c>
      <c r="K42" s="201" t="s">
        <v>359</v>
      </c>
      <c r="L42" s="203">
        <v>44500</v>
      </c>
      <c r="M42" s="201" t="s">
        <v>290</v>
      </c>
      <c r="N42" s="201" t="s">
        <v>346</v>
      </c>
      <c r="Q42" t="s">
        <v>404</v>
      </c>
    </row>
    <row r="43" spans="2:17" ht="17">
      <c r="B43" s="204" t="s">
        <v>360</v>
      </c>
      <c r="C43" s="201" t="s">
        <v>361</v>
      </c>
      <c r="D43" s="201" t="s">
        <v>104</v>
      </c>
      <c r="E43" s="201">
        <v>-36</v>
      </c>
      <c r="F43" s="201">
        <v>387</v>
      </c>
      <c r="G43" s="201">
        <v>577</v>
      </c>
      <c r="H43" s="201">
        <v>-997</v>
      </c>
      <c r="I43" s="202">
        <v>1000</v>
      </c>
      <c r="J43" s="201" t="s">
        <v>320</v>
      </c>
      <c r="K43" s="201" t="s">
        <v>303</v>
      </c>
      <c r="L43" s="203">
        <v>44501</v>
      </c>
      <c r="M43" s="201" t="s">
        <v>290</v>
      </c>
      <c r="N43" s="201" t="s">
        <v>304</v>
      </c>
      <c r="Q43" t="s">
        <v>400</v>
      </c>
    </row>
    <row r="44" spans="2:17" ht="17">
      <c r="B44" s="204" t="s">
        <v>362</v>
      </c>
      <c r="C44" s="201" t="s">
        <v>363</v>
      </c>
      <c r="D44" s="201" t="s">
        <v>131</v>
      </c>
      <c r="E44" s="201">
        <v>-35</v>
      </c>
      <c r="F44" s="201">
        <v>75</v>
      </c>
      <c r="G44" s="201">
        <v>890</v>
      </c>
      <c r="H44" s="201">
        <v>-240</v>
      </c>
      <c r="I44" s="202">
        <v>1000</v>
      </c>
      <c r="J44" s="201" t="s">
        <v>320</v>
      </c>
      <c r="K44" s="201" t="s">
        <v>303</v>
      </c>
      <c r="L44" s="203">
        <v>44502</v>
      </c>
      <c r="M44" s="201" t="s">
        <v>290</v>
      </c>
      <c r="N44" s="201" t="s">
        <v>304</v>
      </c>
    </row>
    <row r="45" spans="2:17" ht="17">
      <c r="B45" s="204" t="s">
        <v>364</v>
      </c>
      <c r="C45" s="201" t="s">
        <v>365</v>
      </c>
      <c r="D45" s="201" t="s">
        <v>127</v>
      </c>
      <c r="E45" s="201">
        <v>0</v>
      </c>
      <c r="F45" s="201">
        <v>0</v>
      </c>
      <c r="G45" s="202">
        <v>3000</v>
      </c>
      <c r="H45" s="202">
        <v>-2888</v>
      </c>
      <c r="I45" s="202">
        <v>3000</v>
      </c>
      <c r="J45" s="201" t="s">
        <v>298</v>
      </c>
      <c r="K45" s="201" t="s">
        <v>298</v>
      </c>
      <c r="L45" s="203">
        <v>44501</v>
      </c>
      <c r="M45" s="201" t="s">
        <v>290</v>
      </c>
      <c r="N45" s="201" t="s">
        <v>304</v>
      </c>
      <c r="Q45" t="s">
        <v>401</v>
      </c>
    </row>
    <row r="46" spans="2:17" ht="17">
      <c r="B46" s="204" t="s">
        <v>366</v>
      </c>
      <c r="C46" s="201" t="s">
        <v>367</v>
      </c>
      <c r="D46" s="201" t="s">
        <v>250</v>
      </c>
      <c r="E46" s="201">
        <v>48</v>
      </c>
      <c r="F46" s="201">
        <v>270</v>
      </c>
      <c r="G46" s="202">
        <v>1778</v>
      </c>
      <c r="H46" s="202">
        <v>-4616</v>
      </c>
      <c r="I46" s="202">
        <v>2000</v>
      </c>
      <c r="J46" s="201" t="s">
        <v>298</v>
      </c>
      <c r="K46" s="201" t="s">
        <v>298</v>
      </c>
      <c r="L46" s="203">
        <v>44501</v>
      </c>
      <c r="M46" s="201" t="s">
        <v>290</v>
      </c>
      <c r="N46" s="201" t="s">
        <v>304</v>
      </c>
      <c r="Q46" t="s">
        <v>402</v>
      </c>
    </row>
    <row r="47" spans="2:17" ht="17">
      <c r="B47" s="204" t="s">
        <v>368</v>
      </c>
      <c r="C47" s="201" t="s">
        <v>369</v>
      </c>
      <c r="D47" s="201" t="s">
        <v>133</v>
      </c>
      <c r="E47" s="201">
        <v>-521</v>
      </c>
      <c r="F47" s="201">
        <v>285</v>
      </c>
      <c r="G47" s="201">
        <v>194</v>
      </c>
      <c r="H47" s="201">
        <v>43</v>
      </c>
      <c r="I47" s="202">
        <v>1000</v>
      </c>
      <c r="J47" s="201" t="s">
        <v>320</v>
      </c>
      <c r="K47" s="201" t="s">
        <v>303</v>
      </c>
      <c r="L47" s="203">
        <v>44502</v>
      </c>
      <c r="M47" s="201" t="s">
        <v>290</v>
      </c>
      <c r="N47" s="201" t="s">
        <v>304</v>
      </c>
      <c r="Q47" t="s">
        <v>413</v>
      </c>
    </row>
    <row r="48" spans="2:17" ht="17">
      <c r="B48" s="204" t="s">
        <v>370</v>
      </c>
      <c r="C48" s="201" t="s">
        <v>371</v>
      </c>
      <c r="D48" s="201" t="s">
        <v>227</v>
      </c>
      <c r="E48" s="201">
        <v>0</v>
      </c>
      <c r="F48" s="201">
        <v>0</v>
      </c>
      <c r="G48" s="202">
        <v>1000</v>
      </c>
      <c r="H48" s="201">
        <v>-68</v>
      </c>
      <c r="I48" s="202">
        <v>1000</v>
      </c>
      <c r="J48" s="201" t="s">
        <v>303</v>
      </c>
      <c r="K48" s="201" t="s">
        <v>303</v>
      </c>
      <c r="L48" s="203">
        <v>44490</v>
      </c>
      <c r="M48" s="201" t="s">
        <v>290</v>
      </c>
      <c r="N48" s="201" t="s">
        <v>291</v>
      </c>
      <c r="Q48" t="s">
        <v>414</v>
      </c>
    </row>
    <row r="49" spans="2:17" ht="17">
      <c r="B49" s="204" t="s">
        <v>372</v>
      </c>
      <c r="C49" s="201" t="s">
        <v>373</v>
      </c>
      <c r="D49" s="201" t="s">
        <v>230</v>
      </c>
      <c r="E49" s="201">
        <v>0</v>
      </c>
      <c r="F49" s="201">
        <v>0</v>
      </c>
      <c r="G49" s="202">
        <v>1000</v>
      </c>
      <c r="H49" s="201">
        <v>454</v>
      </c>
      <c r="I49" s="202">
        <v>1000</v>
      </c>
      <c r="J49" s="201" t="s">
        <v>320</v>
      </c>
      <c r="K49" s="201" t="s">
        <v>303</v>
      </c>
      <c r="L49" s="203">
        <v>44499</v>
      </c>
      <c r="M49" s="201" t="s">
        <v>290</v>
      </c>
      <c r="N49" s="201" t="s">
        <v>304</v>
      </c>
    </row>
    <row r="50" spans="2:17" ht="17">
      <c r="B50" s="204" t="s">
        <v>374</v>
      </c>
      <c r="C50" s="201" t="s">
        <v>375</v>
      </c>
      <c r="D50" s="201" t="s">
        <v>231</v>
      </c>
      <c r="E50" s="201">
        <v>-9</v>
      </c>
      <c r="F50" s="201">
        <v>120</v>
      </c>
      <c r="G50" s="201">
        <v>271</v>
      </c>
      <c r="H50" s="202">
        <v>-1217</v>
      </c>
      <c r="I50" s="201">
        <v>400</v>
      </c>
      <c r="J50" s="201" t="s">
        <v>320</v>
      </c>
      <c r="K50" s="201" t="s">
        <v>303</v>
      </c>
      <c r="L50" s="203">
        <v>44502</v>
      </c>
      <c r="M50" s="201" t="s">
        <v>290</v>
      </c>
      <c r="N50" s="201" t="s">
        <v>304</v>
      </c>
      <c r="Q50" t="s">
        <v>404</v>
      </c>
    </row>
    <row r="51" spans="2:17" ht="17">
      <c r="B51" s="204" t="s">
        <v>376</v>
      </c>
      <c r="C51" s="201" t="s">
        <v>377</v>
      </c>
      <c r="D51" s="201" t="s">
        <v>232</v>
      </c>
      <c r="E51" s="201">
        <v>-15</v>
      </c>
      <c r="F51" s="201">
        <v>25</v>
      </c>
      <c r="G51" s="201">
        <v>960</v>
      </c>
      <c r="H51" s="201">
        <v>-40</v>
      </c>
      <c r="I51" s="202">
        <v>1000</v>
      </c>
      <c r="J51" s="201" t="s">
        <v>320</v>
      </c>
      <c r="K51" s="201" t="s">
        <v>303</v>
      </c>
      <c r="L51" s="203">
        <v>44502</v>
      </c>
      <c r="M51" s="201" t="s">
        <v>290</v>
      </c>
      <c r="N51" s="201" t="s">
        <v>304</v>
      </c>
      <c r="Q51" t="s">
        <v>400</v>
      </c>
    </row>
    <row r="52" spans="2:17" ht="17">
      <c r="B52" s="204" t="s">
        <v>378</v>
      </c>
      <c r="C52" s="201" t="s">
        <v>379</v>
      </c>
      <c r="D52" s="201" t="s">
        <v>258</v>
      </c>
      <c r="E52" s="201">
        <v>0</v>
      </c>
      <c r="F52" s="201">
        <v>0</v>
      </c>
      <c r="G52" s="202">
        <v>1000</v>
      </c>
      <c r="H52" s="201">
        <v>245</v>
      </c>
      <c r="I52" s="202">
        <v>1000</v>
      </c>
      <c r="J52" s="201" t="s">
        <v>320</v>
      </c>
      <c r="K52" s="201" t="s">
        <v>303</v>
      </c>
      <c r="L52" s="203">
        <v>44499</v>
      </c>
      <c r="M52" s="201" t="s">
        <v>290</v>
      </c>
      <c r="N52" s="201" t="s">
        <v>304</v>
      </c>
    </row>
    <row r="53" spans="2:17" ht="17">
      <c r="B53" s="204" t="s">
        <v>380</v>
      </c>
      <c r="C53" s="201" t="s">
        <v>381</v>
      </c>
      <c r="D53" s="201" t="s">
        <v>229</v>
      </c>
      <c r="E53" s="201">
        <v>0</v>
      </c>
      <c r="F53" s="201">
        <v>0</v>
      </c>
      <c r="G53" s="201">
        <v>500</v>
      </c>
      <c r="H53" s="201">
        <v>-155</v>
      </c>
      <c r="I53" s="201">
        <v>500</v>
      </c>
      <c r="J53" s="201" t="s">
        <v>320</v>
      </c>
      <c r="K53" s="201" t="s">
        <v>303</v>
      </c>
      <c r="L53" s="203">
        <v>44497</v>
      </c>
      <c r="M53" s="201" t="s">
        <v>290</v>
      </c>
      <c r="N53" s="201" t="s">
        <v>304</v>
      </c>
      <c r="Q53" t="s">
        <v>401</v>
      </c>
    </row>
    <row r="54" spans="2:17" ht="17">
      <c r="B54" s="204" t="s">
        <v>382</v>
      </c>
      <c r="C54" s="201" t="s">
        <v>383</v>
      </c>
      <c r="D54" s="201" t="s">
        <v>245</v>
      </c>
      <c r="E54" s="201">
        <v>517</v>
      </c>
      <c r="F54" s="202">
        <v>2636</v>
      </c>
      <c r="G54" s="202">
        <v>2381</v>
      </c>
      <c r="H54" s="202">
        <v>3755</v>
      </c>
      <c r="I54" s="202">
        <v>4500</v>
      </c>
      <c r="J54" s="201" t="s">
        <v>298</v>
      </c>
      <c r="K54" s="201" t="s">
        <v>298</v>
      </c>
      <c r="L54" s="203">
        <v>44502</v>
      </c>
      <c r="M54" s="201" t="s">
        <v>290</v>
      </c>
      <c r="N54" s="201" t="s">
        <v>304</v>
      </c>
      <c r="Q54" t="s">
        <v>402</v>
      </c>
    </row>
    <row r="55" spans="2:17" ht="17">
      <c r="B55" s="204" t="s">
        <v>384</v>
      </c>
      <c r="C55" s="201" t="s">
        <v>385</v>
      </c>
      <c r="D55" s="201" t="s">
        <v>247</v>
      </c>
      <c r="E55" s="201">
        <v>0</v>
      </c>
      <c r="F55" s="201">
        <v>10</v>
      </c>
      <c r="G55" s="201">
        <v>990</v>
      </c>
      <c r="H55" s="201">
        <v>-135</v>
      </c>
      <c r="I55" s="202">
        <v>1000</v>
      </c>
      <c r="J55" s="201" t="s">
        <v>320</v>
      </c>
      <c r="K55" s="201" t="s">
        <v>303</v>
      </c>
      <c r="L55" s="203">
        <v>44502</v>
      </c>
      <c r="M55" s="201" t="s">
        <v>290</v>
      </c>
      <c r="N55" s="201" t="s">
        <v>304</v>
      </c>
      <c r="Q55" t="s">
        <v>415</v>
      </c>
    </row>
    <row r="56" spans="2:17" ht="17">
      <c r="B56" s="204" t="s">
        <v>386</v>
      </c>
      <c r="C56" s="201" t="s">
        <v>387</v>
      </c>
      <c r="D56" s="201" t="s">
        <v>256</v>
      </c>
      <c r="E56" s="201">
        <v>-144</v>
      </c>
      <c r="F56" s="201">
        <v>420</v>
      </c>
      <c r="G56" s="201">
        <v>436</v>
      </c>
      <c r="H56" s="201">
        <v>-589</v>
      </c>
      <c r="I56" s="202">
        <v>1000</v>
      </c>
      <c r="J56" s="201" t="s">
        <v>320</v>
      </c>
      <c r="K56" s="201" t="s">
        <v>303</v>
      </c>
      <c r="L56" s="203">
        <v>44502</v>
      </c>
      <c r="M56" s="201" t="s">
        <v>290</v>
      </c>
      <c r="N56" s="201" t="s">
        <v>304</v>
      </c>
      <c r="Q56" t="s">
        <v>416</v>
      </c>
    </row>
    <row r="57" spans="2:17" ht="17">
      <c r="B57" s="204" t="s">
        <v>388</v>
      </c>
      <c r="C57" s="201" t="s">
        <v>302</v>
      </c>
      <c r="D57" s="201" t="s">
        <v>260</v>
      </c>
      <c r="E57" s="202">
        <v>-1200</v>
      </c>
      <c r="F57" s="201">
        <v>250</v>
      </c>
      <c r="G57" s="201">
        <v>550</v>
      </c>
      <c r="H57" s="202">
        <v>-3583</v>
      </c>
      <c r="I57" s="202">
        <v>2000</v>
      </c>
      <c r="J57" s="201" t="s">
        <v>298</v>
      </c>
      <c r="K57" s="201" t="s">
        <v>298</v>
      </c>
      <c r="L57" s="203">
        <v>44502</v>
      </c>
      <c r="M57" s="201" t="s">
        <v>290</v>
      </c>
      <c r="N57" s="201" t="s">
        <v>304</v>
      </c>
    </row>
    <row r="58" spans="2:17" ht="17">
      <c r="B58" s="204" t="s">
        <v>389</v>
      </c>
      <c r="C58" s="201" t="s">
        <v>390</v>
      </c>
      <c r="D58" s="201" t="s">
        <v>252</v>
      </c>
      <c r="E58" s="201">
        <v>-79</v>
      </c>
      <c r="F58" s="201">
        <v>0</v>
      </c>
      <c r="G58" s="201">
        <v>421</v>
      </c>
      <c r="H58" s="201">
        <v>-185</v>
      </c>
      <c r="I58" s="201">
        <v>500</v>
      </c>
      <c r="J58" s="201" t="s">
        <v>320</v>
      </c>
      <c r="K58" s="201" t="s">
        <v>303</v>
      </c>
      <c r="L58" s="203">
        <v>44501</v>
      </c>
      <c r="M58" s="201" t="s">
        <v>290</v>
      </c>
      <c r="N58" s="201" t="s">
        <v>304</v>
      </c>
      <c r="Q58" t="s">
        <v>404</v>
      </c>
    </row>
    <row r="59" spans="2:17" ht="17">
      <c r="B59" s="204" t="s">
        <v>391</v>
      </c>
      <c r="C59" s="201" t="s">
        <v>392</v>
      </c>
      <c r="D59" s="201" t="s">
        <v>254</v>
      </c>
      <c r="E59" s="201">
        <v>-350</v>
      </c>
      <c r="F59" s="201">
        <v>0</v>
      </c>
      <c r="G59" s="201">
        <v>150</v>
      </c>
      <c r="H59" s="201">
        <v>-134</v>
      </c>
      <c r="I59" s="201">
        <v>500</v>
      </c>
      <c r="J59" s="201" t="s">
        <v>320</v>
      </c>
      <c r="K59" s="201" t="s">
        <v>303</v>
      </c>
      <c r="L59" s="203">
        <v>44501</v>
      </c>
      <c r="M59" s="201" t="s">
        <v>290</v>
      </c>
      <c r="N59" s="201" t="s">
        <v>304</v>
      </c>
      <c r="Q59" t="s">
        <v>400</v>
      </c>
    </row>
    <row r="60" spans="2:17" ht="17">
      <c r="B60" s="204" t="s">
        <v>393</v>
      </c>
      <c r="C60" s="201" t="s">
        <v>394</v>
      </c>
      <c r="D60" s="201" t="s">
        <v>263</v>
      </c>
      <c r="E60" s="201">
        <v>0</v>
      </c>
      <c r="F60" s="201">
        <v>0</v>
      </c>
      <c r="G60" s="201">
        <v>750</v>
      </c>
      <c r="H60" s="201">
        <v>-111</v>
      </c>
      <c r="I60" s="201">
        <v>750</v>
      </c>
      <c r="J60" s="201" t="s">
        <v>320</v>
      </c>
      <c r="K60" s="201" t="s">
        <v>303</v>
      </c>
      <c r="L60" s="203">
        <v>44493</v>
      </c>
      <c r="M60" s="201" t="s">
        <v>290</v>
      </c>
      <c r="N60" s="201" t="s">
        <v>304</v>
      </c>
    </row>
    <row r="61" spans="2:17" ht="17">
      <c r="B61" s="204" t="s">
        <v>395</v>
      </c>
      <c r="C61" s="201" t="s">
        <v>396</v>
      </c>
      <c r="D61" s="201" t="s">
        <v>399</v>
      </c>
      <c r="E61" s="201">
        <v>0</v>
      </c>
      <c r="F61" s="201">
        <v>0</v>
      </c>
      <c r="G61" s="201">
        <v>750</v>
      </c>
      <c r="H61" s="201">
        <v>0</v>
      </c>
      <c r="I61" s="201">
        <v>750</v>
      </c>
      <c r="J61" s="201" t="s">
        <v>320</v>
      </c>
      <c r="K61" s="201" t="s">
        <v>303</v>
      </c>
      <c r="L61" s="201" t="s">
        <v>289</v>
      </c>
      <c r="M61" s="201" t="s">
        <v>290</v>
      </c>
      <c r="N61" s="201" t="s">
        <v>304</v>
      </c>
      <c r="Q61" t="s">
        <v>401</v>
      </c>
    </row>
    <row r="62" spans="2:17" ht="17">
      <c r="B62" s="204" t="s">
        <v>397</v>
      </c>
      <c r="C62" s="201" t="s">
        <v>365</v>
      </c>
      <c r="D62" s="201"/>
      <c r="E62" s="201">
        <v>0</v>
      </c>
      <c r="F62" s="201">
        <v>0</v>
      </c>
      <c r="G62" s="201">
        <v>500</v>
      </c>
      <c r="H62" s="201">
        <v>0</v>
      </c>
      <c r="I62" s="201">
        <v>500</v>
      </c>
      <c r="J62" s="201" t="s">
        <v>320</v>
      </c>
      <c r="K62" s="201" t="s">
        <v>303</v>
      </c>
      <c r="L62" s="201" t="s">
        <v>289</v>
      </c>
      <c r="M62" s="201" t="s">
        <v>290</v>
      </c>
      <c r="N62" s="201" t="s">
        <v>304</v>
      </c>
      <c r="Q62" t="s">
        <v>402</v>
      </c>
    </row>
    <row r="63" spans="2:17" ht="17">
      <c r="B63" s="204" t="s">
        <v>398</v>
      </c>
      <c r="C63" s="201" t="s">
        <v>365</v>
      </c>
      <c r="D63" s="201"/>
      <c r="E63" s="201">
        <v>0</v>
      </c>
      <c r="F63" s="201">
        <v>0</v>
      </c>
      <c r="G63" s="201">
        <v>500</v>
      </c>
      <c r="H63" s="201">
        <v>0</v>
      </c>
      <c r="I63" s="201">
        <v>500</v>
      </c>
      <c r="J63" s="201" t="s">
        <v>320</v>
      </c>
      <c r="K63" s="201" t="s">
        <v>303</v>
      </c>
      <c r="L63" s="201" t="s">
        <v>289</v>
      </c>
      <c r="M63" s="201" t="s">
        <v>290</v>
      </c>
      <c r="N63" s="201" t="s">
        <v>304</v>
      </c>
      <c r="Q63" t="s">
        <v>417</v>
      </c>
    </row>
    <row r="64" spans="2:17">
      <c r="Q64" t="s">
        <v>418</v>
      </c>
    </row>
    <row r="66" spans="17:17">
      <c r="Q66" t="s">
        <v>404</v>
      </c>
    </row>
    <row r="67" spans="17:17">
      <c r="Q67" t="s">
        <v>400</v>
      </c>
    </row>
    <row r="69" spans="17:17">
      <c r="Q69" t="s">
        <v>401</v>
      </c>
    </row>
    <row r="70" spans="17:17">
      <c r="Q70" t="s">
        <v>402</v>
      </c>
    </row>
    <row r="71" spans="17:17">
      <c r="Q71" t="s">
        <v>419</v>
      </c>
    </row>
    <row r="72" spans="17:17">
      <c r="Q72" t="s">
        <v>420</v>
      </c>
    </row>
    <row r="74" spans="17:17">
      <c r="Q74" t="s">
        <v>404</v>
      </c>
    </row>
    <row r="75" spans="17:17">
      <c r="Q75" t="s">
        <v>400</v>
      </c>
    </row>
    <row r="77" spans="17:17">
      <c r="Q77" t="s">
        <v>401</v>
      </c>
    </row>
    <row r="78" spans="17:17">
      <c r="Q78" t="s">
        <v>402</v>
      </c>
    </row>
    <row r="79" spans="17:17">
      <c r="Q79" t="s">
        <v>421</v>
      </c>
    </row>
    <row r="80" spans="17:17">
      <c r="Q80" t="s">
        <v>422</v>
      </c>
    </row>
    <row r="82" spans="17:17">
      <c r="Q82" t="s">
        <v>404</v>
      </c>
    </row>
    <row r="83" spans="17:17">
      <c r="Q83" t="s">
        <v>400</v>
      </c>
    </row>
    <row r="85" spans="17:17">
      <c r="Q85" t="s">
        <v>401</v>
      </c>
    </row>
    <row r="86" spans="17:17">
      <c r="Q86" t="s">
        <v>402</v>
      </c>
    </row>
    <row r="87" spans="17:17">
      <c r="Q87" t="s">
        <v>423</v>
      </c>
    </row>
    <row r="88" spans="17:17">
      <c r="Q88" t="s">
        <v>424</v>
      </c>
    </row>
    <row r="90" spans="17:17">
      <c r="Q90" t="s">
        <v>404</v>
      </c>
    </row>
    <row r="91" spans="17:17">
      <c r="Q91" t="s">
        <v>400</v>
      </c>
    </row>
    <row r="93" spans="17:17">
      <c r="Q93" t="s">
        <v>401</v>
      </c>
    </row>
    <row r="94" spans="17:17">
      <c r="Q94" t="s">
        <v>402</v>
      </c>
    </row>
    <row r="95" spans="17:17">
      <c r="Q95" t="s">
        <v>425</v>
      </c>
    </row>
    <row r="96" spans="17:17">
      <c r="Q96" t="s">
        <v>426</v>
      </c>
    </row>
    <row r="98" spans="17:17">
      <c r="Q98" t="s">
        <v>404</v>
      </c>
    </row>
    <row r="99" spans="17:17">
      <c r="Q99" t="s">
        <v>400</v>
      </c>
    </row>
    <row r="101" spans="17:17">
      <c r="Q101" t="s">
        <v>401</v>
      </c>
    </row>
    <row r="102" spans="17:17">
      <c r="Q102" t="s">
        <v>402</v>
      </c>
    </row>
    <row r="103" spans="17:17">
      <c r="Q103" t="s">
        <v>427</v>
      </c>
    </row>
    <row r="104" spans="17:17">
      <c r="Q104" t="s">
        <v>428</v>
      </c>
    </row>
    <row r="106" spans="17:17">
      <c r="Q106" t="s">
        <v>404</v>
      </c>
    </row>
    <row r="107" spans="17:17">
      <c r="Q107" t="s">
        <v>400</v>
      </c>
    </row>
    <row r="109" spans="17:17">
      <c r="Q109" t="s">
        <v>401</v>
      </c>
    </row>
    <row r="110" spans="17:17">
      <c r="Q110" t="s">
        <v>402</v>
      </c>
    </row>
    <row r="111" spans="17:17">
      <c r="Q111" t="s">
        <v>429</v>
      </c>
    </row>
    <row r="112" spans="17:17">
      <c r="Q112" t="s">
        <v>430</v>
      </c>
    </row>
    <row r="114" spans="17:17">
      <c r="Q114" t="s">
        <v>404</v>
      </c>
    </row>
    <row r="115" spans="17:17">
      <c r="Q115" t="s">
        <v>400</v>
      </c>
    </row>
    <row r="117" spans="17:17">
      <c r="Q117" t="s">
        <v>401</v>
      </c>
    </row>
    <row r="118" spans="17:17">
      <c r="Q118" t="s">
        <v>402</v>
      </c>
    </row>
    <row r="119" spans="17:17">
      <c r="Q119" t="s">
        <v>431</v>
      </c>
    </row>
    <row r="120" spans="17:17">
      <c r="Q120" t="s">
        <v>432</v>
      </c>
    </row>
    <row r="122" spans="17:17">
      <c r="Q122" t="s">
        <v>404</v>
      </c>
    </row>
    <row r="123" spans="17:17">
      <c r="Q123" t="s">
        <v>400</v>
      </c>
    </row>
    <row r="125" spans="17:17">
      <c r="Q125" t="s">
        <v>401</v>
      </c>
    </row>
    <row r="126" spans="17:17">
      <c r="Q126" t="s">
        <v>402</v>
      </c>
    </row>
    <row r="127" spans="17:17">
      <c r="Q127" t="s">
        <v>433</v>
      </c>
    </row>
    <row r="128" spans="17:17">
      <c r="Q128" t="s">
        <v>434</v>
      </c>
    </row>
    <row r="130" spans="17:17">
      <c r="Q130" t="s">
        <v>404</v>
      </c>
    </row>
    <row r="131" spans="17:17">
      <c r="Q131" t="s">
        <v>400</v>
      </c>
    </row>
    <row r="133" spans="17:17">
      <c r="Q133" t="s">
        <v>401</v>
      </c>
    </row>
    <row r="134" spans="17:17">
      <c r="Q134" t="s">
        <v>402</v>
      </c>
    </row>
    <row r="135" spans="17:17">
      <c r="Q135" t="s">
        <v>435</v>
      </c>
    </row>
    <row r="136" spans="17:17">
      <c r="Q136" t="s">
        <v>436</v>
      </c>
    </row>
    <row r="138" spans="17:17">
      <c r="Q138" t="s">
        <v>404</v>
      </c>
    </row>
    <row r="139" spans="17:17">
      <c r="Q139" t="s">
        <v>400</v>
      </c>
    </row>
    <row r="141" spans="17:17">
      <c r="Q141" t="s">
        <v>401</v>
      </c>
    </row>
    <row r="142" spans="17:17">
      <c r="Q142" t="s">
        <v>402</v>
      </c>
    </row>
    <row r="143" spans="17:17">
      <c r="Q143" t="s">
        <v>437</v>
      </c>
    </row>
    <row r="144" spans="17:17">
      <c r="Q144" t="s">
        <v>438</v>
      </c>
    </row>
    <row r="146" spans="17:17">
      <c r="Q146" t="s">
        <v>404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7A57-00C7-044C-A95A-5E3B0411BE36}">
  <dimension ref="B2:L66"/>
  <sheetViews>
    <sheetView showGridLines="0" zoomScale="60" zoomScaleNormal="60" workbookViewId="0">
      <selection activeCell="O25" sqref="O25"/>
    </sheetView>
  </sheetViews>
  <sheetFormatPr baseColWidth="10" defaultRowHeight="16"/>
  <cols>
    <col min="3" max="3" width="21.1640625" bestFit="1" customWidth="1"/>
    <col min="4" max="4" width="8.83203125" bestFit="1" customWidth="1"/>
    <col min="5" max="5" width="45.1640625" bestFit="1" customWidth="1"/>
    <col min="9" max="9" width="17.1640625" bestFit="1" customWidth="1"/>
  </cols>
  <sheetData>
    <row r="2" spans="2:12" ht="17" thickBot="1"/>
    <row r="3" spans="2:12" ht="20" thickBot="1">
      <c r="B3" s="143" t="s">
        <v>204</v>
      </c>
      <c r="C3" s="144" t="s">
        <v>205</v>
      </c>
      <c r="D3" s="144" t="s">
        <v>206</v>
      </c>
      <c r="E3" s="144" t="s">
        <v>207</v>
      </c>
      <c r="F3" s="144" t="s">
        <v>208</v>
      </c>
      <c r="G3" s="144" t="s">
        <v>209</v>
      </c>
      <c r="H3" s="144" t="s">
        <v>210</v>
      </c>
      <c r="I3" s="145" t="s">
        <v>211</v>
      </c>
      <c r="K3" s="143" t="s">
        <v>204</v>
      </c>
      <c r="L3" s="145" t="s">
        <v>4</v>
      </c>
    </row>
    <row r="4" spans="2:12">
      <c r="B4" s="364" t="s">
        <v>5</v>
      </c>
      <c r="C4" s="146" t="s">
        <v>135</v>
      </c>
      <c r="D4" s="147"/>
      <c r="E4" s="146" t="s">
        <v>137</v>
      </c>
      <c r="F4" s="366" t="s">
        <v>139</v>
      </c>
      <c r="G4" s="366">
        <v>-110</v>
      </c>
      <c r="H4" s="146" t="s">
        <v>140</v>
      </c>
      <c r="I4" s="368">
        <v>44459.832638888889</v>
      </c>
      <c r="K4" s="179" t="s">
        <v>40</v>
      </c>
      <c r="L4" s="180">
        <f t="shared" ref="L4:L12" si="0">SUMIF($B$4:$B$65,$K4,$G$4:$G$65)</f>
        <v>-415</v>
      </c>
    </row>
    <row r="5" spans="2:12" ht="17" thickBot="1">
      <c r="B5" s="365"/>
      <c r="C5" s="148">
        <v>44459.845138888886</v>
      </c>
      <c r="D5" s="149" t="s">
        <v>136</v>
      </c>
      <c r="E5" s="149" t="s">
        <v>138</v>
      </c>
      <c r="F5" s="367"/>
      <c r="G5" s="367"/>
      <c r="H5" s="149" t="s">
        <v>140</v>
      </c>
      <c r="I5" s="369"/>
      <c r="K5" s="175" t="s">
        <v>27</v>
      </c>
      <c r="L5" s="176">
        <f t="shared" si="0"/>
        <v>89.5</v>
      </c>
    </row>
    <row r="6" spans="2:12">
      <c r="B6" s="355" t="s">
        <v>17</v>
      </c>
      <c r="C6" s="150" t="s">
        <v>141</v>
      </c>
      <c r="D6" s="151"/>
      <c r="E6" s="150" t="s">
        <v>143</v>
      </c>
      <c r="F6" s="358" t="s">
        <v>148</v>
      </c>
      <c r="G6" s="358">
        <v>-50</v>
      </c>
      <c r="H6" s="150" t="s">
        <v>140</v>
      </c>
      <c r="I6" s="361">
        <v>44462.619444444441</v>
      </c>
      <c r="K6" s="175" t="s">
        <v>5</v>
      </c>
      <c r="L6" s="176">
        <f t="shared" si="0"/>
        <v>-110.5</v>
      </c>
    </row>
    <row r="7" spans="2:12">
      <c r="B7" s="356"/>
      <c r="C7" s="152">
        <v>44462.632638888892</v>
      </c>
      <c r="D7" s="153" t="s">
        <v>142</v>
      </c>
      <c r="E7" s="153" t="s">
        <v>144</v>
      </c>
      <c r="F7" s="359"/>
      <c r="G7" s="359"/>
      <c r="H7" s="153" t="s">
        <v>149</v>
      </c>
      <c r="I7" s="362"/>
      <c r="K7" s="175" t="s">
        <v>17</v>
      </c>
      <c r="L7" s="176">
        <f t="shared" si="0"/>
        <v>10.5</v>
      </c>
    </row>
    <row r="8" spans="2:12">
      <c r="B8" s="356"/>
      <c r="C8" s="152">
        <v>44462.652777777781</v>
      </c>
      <c r="D8" s="153" t="s">
        <v>142</v>
      </c>
      <c r="E8" s="153" t="s">
        <v>145</v>
      </c>
      <c r="F8" s="359"/>
      <c r="G8" s="359"/>
      <c r="H8" s="153" t="s">
        <v>140</v>
      </c>
      <c r="I8" s="362"/>
      <c r="K8" s="175" t="s">
        <v>203</v>
      </c>
      <c r="L8" s="176">
        <f t="shared" si="0"/>
        <v>0</v>
      </c>
    </row>
    <row r="9" spans="2:12">
      <c r="B9" s="356"/>
      <c r="C9" s="153"/>
      <c r="D9" s="153"/>
      <c r="E9" s="153" t="s">
        <v>146</v>
      </c>
      <c r="F9" s="359"/>
      <c r="G9" s="359"/>
      <c r="H9" s="153"/>
      <c r="I9" s="362"/>
      <c r="K9" s="175" t="s">
        <v>213</v>
      </c>
      <c r="L9" s="176">
        <f t="shared" si="0"/>
        <v>-50.4</v>
      </c>
    </row>
    <row r="10" spans="2:12" ht="17" thickBot="1">
      <c r="B10" s="357"/>
      <c r="C10" s="154"/>
      <c r="D10" s="154"/>
      <c r="E10" s="154" t="s">
        <v>147</v>
      </c>
      <c r="F10" s="360"/>
      <c r="G10" s="360"/>
      <c r="H10" s="154"/>
      <c r="I10" s="363"/>
      <c r="K10" s="175" t="s">
        <v>215</v>
      </c>
      <c r="L10" s="176">
        <f t="shared" si="0"/>
        <v>50</v>
      </c>
    </row>
    <row r="11" spans="2:12">
      <c r="B11" s="165" t="s">
        <v>212</v>
      </c>
      <c r="C11" s="146" t="s">
        <v>150</v>
      </c>
      <c r="D11" s="147"/>
      <c r="E11" s="146" t="s">
        <v>137</v>
      </c>
      <c r="F11" s="146" t="s">
        <v>152</v>
      </c>
      <c r="G11" s="146">
        <v>-252</v>
      </c>
      <c r="H11" s="146" t="s">
        <v>140</v>
      </c>
      <c r="I11" s="166">
        <v>44462.906944444447</v>
      </c>
      <c r="K11" s="175" t="s">
        <v>20</v>
      </c>
      <c r="L11" s="176">
        <f t="shared" si="0"/>
        <v>-60.1</v>
      </c>
    </row>
    <row r="12" spans="2:12" ht="17" thickBot="1">
      <c r="B12" s="167" t="s">
        <v>40</v>
      </c>
      <c r="C12" s="168">
        <v>44462.912499999999</v>
      </c>
      <c r="D12" s="169" t="s">
        <v>136</v>
      </c>
      <c r="E12" s="169" t="s">
        <v>151</v>
      </c>
      <c r="F12" s="169"/>
      <c r="G12" s="169">
        <f>$G$11/5</f>
        <v>-50.4</v>
      </c>
      <c r="H12" s="169" t="s">
        <v>140</v>
      </c>
      <c r="I12" s="170">
        <v>44462.906944444447</v>
      </c>
      <c r="K12" s="177" t="s">
        <v>214</v>
      </c>
      <c r="L12" s="178">
        <f t="shared" si="0"/>
        <v>0</v>
      </c>
    </row>
    <row r="13" spans="2:12" ht="17" thickBot="1">
      <c r="B13" s="167" t="s">
        <v>5</v>
      </c>
      <c r="C13" s="169"/>
      <c r="D13" s="171"/>
      <c r="E13" s="169"/>
      <c r="F13" s="169"/>
      <c r="G13" s="169">
        <f t="shared" ref="G13:G16" si="1">$G$11/5</f>
        <v>-50.4</v>
      </c>
      <c r="H13" s="169" t="s">
        <v>140</v>
      </c>
      <c r="I13" s="170">
        <v>44462.906944444447</v>
      </c>
      <c r="K13" s="181" t="s">
        <v>76</v>
      </c>
      <c r="L13" s="182">
        <f>SUM(L4:L12)</f>
        <v>-486</v>
      </c>
    </row>
    <row r="14" spans="2:12">
      <c r="B14" s="167" t="s">
        <v>27</v>
      </c>
      <c r="C14" s="169"/>
      <c r="D14" s="171"/>
      <c r="E14" s="169"/>
      <c r="F14" s="169"/>
      <c r="G14" s="169">
        <f t="shared" si="1"/>
        <v>-50.4</v>
      </c>
      <c r="H14" s="169" t="s">
        <v>140</v>
      </c>
      <c r="I14" s="170">
        <v>44462.906944444447</v>
      </c>
    </row>
    <row r="15" spans="2:12">
      <c r="B15" s="167" t="s">
        <v>17</v>
      </c>
      <c r="C15" s="169"/>
      <c r="D15" s="171"/>
      <c r="E15" s="169"/>
      <c r="F15" s="169"/>
      <c r="G15" s="169">
        <f t="shared" si="1"/>
        <v>-50.4</v>
      </c>
      <c r="H15" s="169" t="s">
        <v>140</v>
      </c>
      <c r="I15" s="170">
        <v>44462.906944444447</v>
      </c>
    </row>
    <row r="16" spans="2:12" ht="17" thickBot="1">
      <c r="B16" s="172" t="s">
        <v>213</v>
      </c>
      <c r="C16" s="173"/>
      <c r="D16" s="173"/>
      <c r="E16" s="149"/>
      <c r="F16" s="173"/>
      <c r="G16" s="149">
        <f t="shared" si="1"/>
        <v>-50.4</v>
      </c>
      <c r="H16" s="149" t="s">
        <v>140</v>
      </c>
      <c r="I16" s="174">
        <v>44462.906944444447</v>
      </c>
    </row>
    <row r="17" spans="2:9">
      <c r="B17" s="355" t="s">
        <v>17</v>
      </c>
      <c r="C17" s="150" t="s">
        <v>153</v>
      </c>
      <c r="D17" s="151"/>
      <c r="E17" s="150" t="s">
        <v>155</v>
      </c>
      <c r="F17" s="358" t="s">
        <v>158</v>
      </c>
      <c r="G17" s="358">
        <v>-31</v>
      </c>
      <c r="H17" s="150" t="s">
        <v>140</v>
      </c>
      <c r="I17" s="361">
        <v>44462.643055555556</v>
      </c>
    </row>
    <row r="18" spans="2:9">
      <c r="B18" s="356"/>
      <c r="C18" s="152">
        <v>44462.930555555555</v>
      </c>
      <c r="D18" s="153" t="s">
        <v>154</v>
      </c>
      <c r="E18" s="153" t="s">
        <v>156</v>
      </c>
      <c r="F18" s="359"/>
      <c r="G18" s="359"/>
      <c r="H18" s="153" t="s">
        <v>149</v>
      </c>
      <c r="I18" s="362"/>
    </row>
    <row r="19" spans="2:9" ht="17" thickBot="1">
      <c r="B19" s="357"/>
      <c r="C19" s="154"/>
      <c r="D19" s="154"/>
      <c r="E19" s="154" t="s">
        <v>157</v>
      </c>
      <c r="F19" s="360"/>
      <c r="G19" s="360"/>
      <c r="H19" s="154"/>
      <c r="I19" s="363"/>
    </row>
    <row r="20" spans="2:9">
      <c r="B20" s="364" t="s">
        <v>5</v>
      </c>
      <c r="C20" s="146" t="s">
        <v>159</v>
      </c>
      <c r="D20" s="147"/>
      <c r="E20" s="146" t="s">
        <v>155</v>
      </c>
      <c r="F20" s="366" t="s">
        <v>160</v>
      </c>
      <c r="G20" s="366">
        <v>-40</v>
      </c>
      <c r="H20" s="146" t="s">
        <v>140</v>
      </c>
      <c r="I20" s="368">
        <v>44462.643750000003</v>
      </c>
    </row>
    <row r="21" spans="2:9">
      <c r="B21" s="370"/>
      <c r="C21" s="168">
        <v>44462.930555555555</v>
      </c>
      <c r="D21" s="169" t="s">
        <v>154</v>
      </c>
      <c r="E21" s="169" t="s">
        <v>156</v>
      </c>
      <c r="F21" s="371"/>
      <c r="G21" s="371"/>
      <c r="H21" s="169" t="s">
        <v>149</v>
      </c>
      <c r="I21" s="372"/>
    </row>
    <row r="22" spans="2:9" ht="17" thickBot="1">
      <c r="B22" s="365"/>
      <c r="C22" s="149"/>
      <c r="D22" s="149"/>
      <c r="E22" s="149" t="s">
        <v>157</v>
      </c>
      <c r="F22" s="367"/>
      <c r="G22" s="367"/>
      <c r="H22" s="149"/>
      <c r="I22" s="369"/>
    </row>
    <row r="23" spans="2:9" ht="17" thickBot="1">
      <c r="B23" s="155" t="s">
        <v>40</v>
      </c>
      <c r="C23" s="156"/>
      <c r="D23" s="156" t="s">
        <v>161</v>
      </c>
      <c r="E23" s="156" t="s">
        <v>162</v>
      </c>
      <c r="F23" s="156"/>
      <c r="G23" s="156">
        <v>-225</v>
      </c>
      <c r="H23" s="156"/>
      <c r="I23" s="157">
        <v>44463.479166666664</v>
      </c>
    </row>
    <row r="24" spans="2:9">
      <c r="B24" s="364" t="s">
        <v>40</v>
      </c>
      <c r="C24" s="146" t="s">
        <v>163</v>
      </c>
      <c r="D24" s="147"/>
      <c r="E24" s="146" t="s">
        <v>137</v>
      </c>
      <c r="F24" s="366" t="s">
        <v>166</v>
      </c>
      <c r="G24" s="366">
        <v>-20</v>
      </c>
      <c r="H24" s="146" t="s">
        <v>140</v>
      </c>
      <c r="I24" s="368">
        <v>44463.495833333334</v>
      </c>
    </row>
    <row r="25" spans="2:9">
      <c r="B25" s="370"/>
      <c r="C25" s="168">
        <v>44463.597916666666</v>
      </c>
      <c r="D25" s="169" t="s">
        <v>142</v>
      </c>
      <c r="E25" s="169" t="s">
        <v>164</v>
      </c>
      <c r="F25" s="371"/>
      <c r="G25" s="371"/>
      <c r="H25" s="169" t="s">
        <v>140</v>
      </c>
      <c r="I25" s="372"/>
    </row>
    <row r="26" spans="2:9" ht="17" thickBot="1">
      <c r="B26" s="365"/>
      <c r="C26" s="149"/>
      <c r="D26" s="149"/>
      <c r="E26" s="149" t="s">
        <v>165</v>
      </c>
      <c r="F26" s="367"/>
      <c r="G26" s="367"/>
      <c r="H26" s="149"/>
      <c r="I26" s="369"/>
    </row>
    <row r="27" spans="2:9">
      <c r="B27" s="355" t="s">
        <v>17</v>
      </c>
      <c r="C27" s="150" t="s">
        <v>167</v>
      </c>
      <c r="D27" s="151"/>
      <c r="E27" s="150" t="s">
        <v>137</v>
      </c>
      <c r="F27" s="358" t="s">
        <v>170</v>
      </c>
      <c r="G27" s="358">
        <v>52</v>
      </c>
      <c r="H27" s="150" t="s">
        <v>171</v>
      </c>
      <c r="I27" s="361">
        <v>44463.520833333336</v>
      </c>
    </row>
    <row r="28" spans="2:9">
      <c r="B28" s="356"/>
      <c r="C28" s="152">
        <v>44463.597916666666</v>
      </c>
      <c r="D28" s="153" t="s">
        <v>142</v>
      </c>
      <c r="E28" s="153" t="s">
        <v>168</v>
      </c>
      <c r="F28" s="359"/>
      <c r="G28" s="359"/>
      <c r="H28" s="153" t="s">
        <v>171</v>
      </c>
      <c r="I28" s="362"/>
    </row>
    <row r="29" spans="2:9" ht="17" thickBot="1">
      <c r="B29" s="357"/>
      <c r="C29" s="154"/>
      <c r="D29" s="154"/>
      <c r="E29" s="154" t="s">
        <v>169</v>
      </c>
      <c r="F29" s="360"/>
      <c r="G29" s="360"/>
      <c r="H29" s="154"/>
      <c r="I29" s="363"/>
    </row>
    <row r="30" spans="2:9">
      <c r="B30" s="165" t="s">
        <v>212</v>
      </c>
      <c r="C30" s="146" t="s">
        <v>172</v>
      </c>
      <c r="D30" s="147"/>
      <c r="E30" s="146" t="s">
        <v>137</v>
      </c>
      <c r="F30" s="146" t="s">
        <v>174</v>
      </c>
      <c r="G30" s="146">
        <v>250</v>
      </c>
      <c r="H30" s="146" t="s">
        <v>171</v>
      </c>
      <c r="I30" s="166">
        <v>44463.521527777775</v>
      </c>
    </row>
    <row r="31" spans="2:9">
      <c r="B31" s="167" t="s">
        <v>5</v>
      </c>
      <c r="C31" s="168">
        <v>44463.597916666666</v>
      </c>
      <c r="D31" s="169" t="s">
        <v>142</v>
      </c>
      <c r="E31" s="169" t="s">
        <v>173</v>
      </c>
      <c r="F31" s="169"/>
      <c r="G31" s="169">
        <f>$G$30/5</f>
        <v>50</v>
      </c>
      <c r="H31" s="169" t="s">
        <v>171</v>
      </c>
      <c r="I31" s="170">
        <v>44463.521527777775</v>
      </c>
    </row>
    <row r="32" spans="2:9">
      <c r="B32" s="167" t="s">
        <v>17</v>
      </c>
      <c r="C32" s="168"/>
      <c r="D32" s="169"/>
      <c r="E32" s="169" t="s">
        <v>169</v>
      </c>
      <c r="F32" s="169"/>
      <c r="G32" s="169">
        <f t="shared" ref="G32:G35" si="2">$G$30/5</f>
        <v>50</v>
      </c>
      <c r="H32" s="169" t="s">
        <v>171</v>
      </c>
      <c r="I32" s="170">
        <v>44463.521527777775</v>
      </c>
    </row>
    <row r="33" spans="2:9">
      <c r="B33" s="167" t="s">
        <v>27</v>
      </c>
      <c r="C33" s="168"/>
      <c r="D33" s="169"/>
      <c r="E33" s="169"/>
      <c r="F33" s="169"/>
      <c r="G33" s="169">
        <f t="shared" si="2"/>
        <v>50</v>
      </c>
      <c r="H33" s="169" t="s">
        <v>171</v>
      </c>
      <c r="I33" s="170">
        <v>44463.521527777775</v>
      </c>
    </row>
    <row r="34" spans="2:9">
      <c r="B34" s="167" t="s">
        <v>215</v>
      </c>
      <c r="C34" s="168"/>
      <c r="D34" s="169"/>
      <c r="E34" s="169"/>
      <c r="F34" s="169"/>
      <c r="G34" s="169">
        <f t="shared" si="2"/>
        <v>50</v>
      </c>
      <c r="H34" s="169" t="s">
        <v>171</v>
      </c>
      <c r="I34" s="170">
        <v>44463.521527777775</v>
      </c>
    </row>
    <row r="35" spans="2:9" ht="17" thickBot="1">
      <c r="B35" s="172" t="s">
        <v>20</v>
      </c>
      <c r="C35" s="149"/>
      <c r="D35" s="149"/>
      <c r="E35" s="173"/>
      <c r="F35" s="149"/>
      <c r="G35" s="149">
        <f t="shared" si="2"/>
        <v>50</v>
      </c>
      <c r="H35" s="149" t="s">
        <v>171</v>
      </c>
      <c r="I35" s="174">
        <v>44463.521527777775</v>
      </c>
    </row>
    <row r="36" spans="2:9">
      <c r="B36" s="355" t="s">
        <v>40</v>
      </c>
      <c r="C36" s="150" t="s">
        <v>175</v>
      </c>
      <c r="D36" s="151"/>
      <c r="E36" s="150" t="s">
        <v>137</v>
      </c>
      <c r="F36" s="358" t="s">
        <v>177</v>
      </c>
      <c r="G36" s="358">
        <v>43</v>
      </c>
      <c r="H36" s="150" t="s">
        <v>171</v>
      </c>
      <c r="I36" s="361">
        <v>44463.568055555559</v>
      </c>
    </row>
    <row r="37" spans="2:9">
      <c r="B37" s="356"/>
      <c r="C37" s="152">
        <v>44463.597916666666</v>
      </c>
      <c r="D37" s="153" t="s">
        <v>142</v>
      </c>
      <c r="E37" s="153" t="s">
        <v>176</v>
      </c>
      <c r="F37" s="359"/>
      <c r="G37" s="359"/>
      <c r="H37" s="153" t="s">
        <v>171</v>
      </c>
      <c r="I37" s="362"/>
    </row>
    <row r="38" spans="2:9" ht="17" thickBot="1">
      <c r="B38" s="357"/>
      <c r="C38" s="154"/>
      <c r="D38" s="154"/>
      <c r="E38" s="154" t="s">
        <v>169</v>
      </c>
      <c r="F38" s="360"/>
      <c r="G38" s="360"/>
      <c r="H38" s="154"/>
      <c r="I38" s="363"/>
    </row>
    <row r="39" spans="2:9">
      <c r="B39" s="165" t="s">
        <v>212</v>
      </c>
      <c r="C39" s="146" t="s">
        <v>178</v>
      </c>
      <c r="D39" s="147"/>
      <c r="E39" s="146" t="s">
        <v>137</v>
      </c>
      <c r="F39" s="146" t="s">
        <v>181</v>
      </c>
      <c r="G39" s="146">
        <v>350</v>
      </c>
      <c r="H39" s="146" t="s">
        <v>171</v>
      </c>
      <c r="I39" s="166">
        <v>44463.700694444444</v>
      </c>
    </row>
    <row r="40" spans="2:9">
      <c r="B40" s="167" t="s">
        <v>40</v>
      </c>
      <c r="C40" s="168">
        <v>44463.795138888891</v>
      </c>
      <c r="D40" s="169" t="s">
        <v>179</v>
      </c>
      <c r="E40" s="169" t="s">
        <v>180</v>
      </c>
      <c r="F40" s="169"/>
      <c r="G40" s="169">
        <f>$G$39/4</f>
        <v>87.5</v>
      </c>
      <c r="H40" s="169" t="s">
        <v>171</v>
      </c>
      <c r="I40" s="170">
        <v>44463.700694444444</v>
      </c>
    </row>
    <row r="41" spans="2:9">
      <c r="B41" s="167" t="s">
        <v>27</v>
      </c>
      <c r="C41" s="169"/>
      <c r="D41" s="171"/>
      <c r="E41" s="169"/>
      <c r="F41" s="169"/>
      <c r="G41" s="169">
        <f t="shared" ref="G41:G43" si="3">$G$39/4</f>
        <v>87.5</v>
      </c>
      <c r="H41" s="169" t="s">
        <v>171</v>
      </c>
      <c r="I41" s="170">
        <v>44463.700694444444</v>
      </c>
    </row>
    <row r="42" spans="2:9">
      <c r="B42" s="167" t="s">
        <v>5</v>
      </c>
      <c r="C42" s="169"/>
      <c r="D42" s="171"/>
      <c r="E42" s="169"/>
      <c r="F42" s="169"/>
      <c r="G42" s="169">
        <f t="shared" si="3"/>
        <v>87.5</v>
      </c>
      <c r="H42" s="169" t="s">
        <v>171</v>
      </c>
      <c r="I42" s="170">
        <v>44463.700694444444</v>
      </c>
    </row>
    <row r="43" spans="2:9" ht="17" thickBot="1">
      <c r="B43" s="167" t="s">
        <v>17</v>
      </c>
      <c r="C43" s="169"/>
      <c r="D43" s="171"/>
      <c r="E43" s="169"/>
      <c r="F43" s="169"/>
      <c r="G43" s="169">
        <f t="shared" si="3"/>
        <v>87.5</v>
      </c>
      <c r="H43" s="169" t="s">
        <v>171</v>
      </c>
      <c r="I43" s="170">
        <v>44463.700694444444</v>
      </c>
    </row>
    <row r="44" spans="2:9">
      <c r="B44" s="158" t="s">
        <v>212</v>
      </c>
      <c r="C44" s="150" t="s">
        <v>182</v>
      </c>
      <c r="D44" s="151"/>
      <c r="E44" s="150" t="s">
        <v>137</v>
      </c>
      <c r="F44" s="150" t="s">
        <v>174</v>
      </c>
      <c r="G44" s="150">
        <v>250</v>
      </c>
      <c r="H44" s="150" t="s">
        <v>171</v>
      </c>
      <c r="I44" s="159">
        <v>44464.444444444445</v>
      </c>
    </row>
    <row r="45" spans="2:9">
      <c r="B45" s="160" t="s">
        <v>40</v>
      </c>
      <c r="C45" s="152">
        <v>44464.503472222219</v>
      </c>
      <c r="D45" s="153" t="s">
        <v>179</v>
      </c>
      <c r="E45" s="153" t="s">
        <v>183</v>
      </c>
      <c r="F45" s="153"/>
      <c r="G45" s="153">
        <f>$G$44/4</f>
        <v>62.5</v>
      </c>
      <c r="H45" s="153" t="s">
        <v>171</v>
      </c>
      <c r="I45" s="161">
        <v>44464.444444444445</v>
      </c>
    </row>
    <row r="46" spans="2:9">
      <c r="B46" s="160" t="s">
        <v>27</v>
      </c>
      <c r="C46" s="153"/>
      <c r="D46" s="162"/>
      <c r="E46" s="153"/>
      <c r="F46" s="153"/>
      <c r="G46" s="153">
        <f>$G$44/4</f>
        <v>62.5</v>
      </c>
      <c r="H46" s="153" t="s">
        <v>171</v>
      </c>
      <c r="I46" s="161">
        <v>44464.444444444445</v>
      </c>
    </row>
    <row r="47" spans="2:9">
      <c r="B47" s="160" t="s">
        <v>5</v>
      </c>
      <c r="C47" s="153"/>
      <c r="D47" s="162"/>
      <c r="E47" s="153"/>
      <c r="F47" s="153"/>
      <c r="G47" s="153">
        <f>$G$44/4</f>
        <v>62.5</v>
      </c>
      <c r="H47" s="153" t="s">
        <v>171</v>
      </c>
      <c r="I47" s="161">
        <v>44464.444444444445</v>
      </c>
    </row>
    <row r="48" spans="2:9" ht="17" thickBot="1">
      <c r="B48" s="160" t="s">
        <v>17</v>
      </c>
      <c r="C48" s="153"/>
      <c r="D48" s="162"/>
      <c r="E48" s="153"/>
      <c r="F48" s="153"/>
      <c r="G48" s="153">
        <f>$G$44/4</f>
        <v>62.5</v>
      </c>
      <c r="H48" s="153" t="s">
        <v>171</v>
      </c>
      <c r="I48" s="161">
        <v>44464.444444444445</v>
      </c>
    </row>
    <row r="49" spans="2:9">
      <c r="B49" s="165" t="s">
        <v>212</v>
      </c>
      <c r="C49" s="146" t="s">
        <v>184</v>
      </c>
      <c r="D49" s="147"/>
      <c r="E49" s="146" t="s">
        <v>137</v>
      </c>
      <c r="F49" s="146" t="s">
        <v>187</v>
      </c>
      <c r="G49" s="146">
        <v>-263</v>
      </c>
      <c r="H49" s="146" t="s">
        <v>140</v>
      </c>
      <c r="I49" s="166">
        <v>44464.439583333333</v>
      </c>
    </row>
    <row r="50" spans="2:9">
      <c r="B50" s="167" t="s">
        <v>40</v>
      </c>
      <c r="C50" s="168">
        <v>44464.504166666666</v>
      </c>
      <c r="D50" s="169" t="s">
        <v>179</v>
      </c>
      <c r="E50" s="169" t="s">
        <v>185</v>
      </c>
      <c r="F50" s="169"/>
      <c r="G50" s="169">
        <f>$G$49/5</f>
        <v>-52.6</v>
      </c>
      <c r="H50" s="169" t="s">
        <v>140</v>
      </c>
      <c r="I50" s="170">
        <v>44464.439583333333</v>
      </c>
    </row>
    <row r="51" spans="2:9">
      <c r="B51" s="167" t="s">
        <v>27</v>
      </c>
      <c r="C51" s="168"/>
      <c r="D51" s="169"/>
      <c r="E51" s="169" t="s">
        <v>186</v>
      </c>
      <c r="F51" s="169"/>
      <c r="G51" s="169">
        <f t="shared" ref="G51:G54" si="4">$G$49/5</f>
        <v>-52.6</v>
      </c>
      <c r="H51" s="169" t="s">
        <v>140</v>
      </c>
      <c r="I51" s="170">
        <v>44464.439583333333</v>
      </c>
    </row>
    <row r="52" spans="2:9">
      <c r="B52" s="167" t="s">
        <v>5</v>
      </c>
      <c r="C52" s="168"/>
      <c r="D52" s="169"/>
      <c r="E52" s="169"/>
      <c r="F52" s="169"/>
      <c r="G52" s="169">
        <f t="shared" si="4"/>
        <v>-52.6</v>
      </c>
      <c r="H52" s="169" t="s">
        <v>140</v>
      </c>
      <c r="I52" s="170">
        <v>44464.439583333333</v>
      </c>
    </row>
    <row r="53" spans="2:9">
      <c r="B53" s="167" t="s">
        <v>17</v>
      </c>
      <c r="C53" s="168"/>
      <c r="D53" s="169"/>
      <c r="E53" s="169"/>
      <c r="F53" s="169"/>
      <c r="G53" s="169">
        <f t="shared" si="4"/>
        <v>-52.6</v>
      </c>
      <c r="H53" s="169" t="s">
        <v>140</v>
      </c>
      <c r="I53" s="170">
        <v>44464.439583333333</v>
      </c>
    </row>
    <row r="54" spans="2:9" ht="17" thickBot="1">
      <c r="B54" s="172" t="s">
        <v>20</v>
      </c>
      <c r="C54" s="149"/>
      <c r="D54" s="149"/>
      <c r="E54" s="173"/>
      <c r="F54" s="149"/>
      <c r="G54" s="149">
        <f t="shared" si="4"/>
        <v>-52.6</v>
      </c>
      <c r="H54" s="149" t="s">
        <v>140</v>
      </c>
      <c r="I54" s="174">
        <v>44464.439583333333</v>
      </c>
    </row>
    <row r="55" spans="2:9">
      <c r="B55" s="158" t="s">
        <v>212</v>
      </c>
      <c r="C55" s="150" t="s">
        <v>188</v>
      </c>
      <c r="D55" s="151"/>
      <c r="E55" s="150" t="s">
        <v>137</v>
      </c>
      <c r="F55" s="150" t="s">
        <v>190</v>
      </c>
      <c r="G55" s="150">
        <v>-230</v>
      </c>
      <c r="H55" s="150" t="s">
        <v>140</v>
      </c>
      <c r="I55" s="159">
        <v>44464.572916666664</v>
      </c>
    </row>
    <row r="56" spans="2:9">
      <c r="B56" s="160" t="s">
        <v>5</v>
      </c>
      <c r="C56" s="152">
        <v>44464.584027777775</v>
      </c>
      <c r="D56" s="162" t="s">
        <v>179</v>
      </c>
      <c r="E56" s="153" t="s">
        <v>189</v>
      </c>
      <c r="F56" s="153"/>
      <c r="G56" s="153">
        <f>$G$55/4</f>
        <v>-57.5</v>
      </c>
      <c r="H56" s="153" t="s">
        <v>140</v>
      </c>
      <c r="I56" s="161">
        <v>44464.572916666664</v>
      </c>
    </row>
    <row r="57" spans="2:9">
      <c r="B57" s="160" t="s">
        <v>27</v>
      </c>
      <c r="C57" s="153"/>
      <c r="D57" s="162"/>
      <c r="E57" s="153"/>
      <c r="F57" s="153"/>
      <c r="G57" s="153">
        <f t="shared" ref="G57:G59" si="5">$G$55/4</f>
        <v>-57.5</v>
      </c>
      <c r="H57" s="153" t="s">
        <v>140</v>
      </c>
      <c r="I57" s="161">
        <v>44464.572916666664</v>
      </c>
    </row>
    <row r="58" spans="2:9">
      <c r="B58" s="160" t="s">
        <v>20</v>
      </c>
      <c r="C58" s="153"/>
      <c r="D58" s="162"/>
      <c r="E58" s="153"/>
      <c r="F58" s="153"/>
      <c r="G58" s="153">
        <f t="shared" si="5"/>
        <v>-57.5</v>
      </c>
      <c r="H58" s="153" t="s">
        <v>140</v>
      </c>
      <c r="I58" s="161">
        <v>44464.572916666664</v>
      </c>
    </row>
    <row r="59" spans="2:9" ht="17" thickBot="1">
      <c r="B59" s="163" t="s">
        <v>17</v>
      </c>
      <c r="C59" s="164"/>
      <c r="D59" s="154"/>
      <c r="E59" s="154"/>
      <c r="F59" s="154"/>
      <c r="G59" s="153">
        <f t="shared" si="5"/>
        <v>-57.5</v>
      </c>
      <c r="H59" s="153" t="s">
        <v>140</v>
      </c>
      <c r="I59" s="161">
        <v>44464.572916666664</v>
      </c>
    </row>
    <row r="60" spans="2:9">
      <c r="B60" s="364" t="s">
        <v>27</v>
      </c>
      <c r="C60" s="146" t="s">
        <v>191</v>
      </c>
      <c r="D60" s="147"/>
      <c r="E60" s="146" t="s">
        <v>137</v>
      </c>
      <c r="F60" s="366" t="s">
        <v>193</v>
      </c>
      <c r="G60" s="366">
        <v>50</v>
      </c>
      <c r="H60" s="146" t="s">
        <v>171</v>
      </c>
      <c r="I60" s="368">
        <v>44464.740277777775</v>
      </c>
    </row>
    <row r="61" spans="2:9" ht="17" thickBot="1">
      <c r="B61" s="365"/>
      <c r="C61" s="148">
        <v>44464.815972222219</v>
      </c>
      <c r="D61" s="149" t="s">
        <v>179</v>
      </c>
      <c r="E61" s="149" t="s">
        <v>192</v>
      </c>
      <c r="F61" s="367"/>
      <c r="G61" s="367"/>
      <c r="H61" s="149" t="s">
        <v>171</v>
      </c>
      <c r="I61" s="369"/>
    </row>
    <row r="62" spans="2:9">
      <c r="B62" s="355" t="s">
        <v>40</v>
      </c>
      <c r="C62" s="150" t="s">
        <v>194</v>
      </c>
      <c r="D62" s="151"/>
      <c r="E62" s="150" t="s">
        <v>195</v>
      </c>
      <c r="F62" s="358" t="s">
        <v>199</v>
      </c>
      <c r="G62" s="358">
        <v>-260</v>
      </c>
      <c r="H62" s="150" t="s">
        <v>140</v>
      </c>
      <c r="I62" s="361">
        <v>44460.601388888892</v>
      </c>
    </row>
    <row r="63" spans="2:9">
      <c r="B63" s="356"/>
      <c r="C63" s="152">
        <v>44464.934027777781</v>
      </c>
      <c r="D63" s="153" t="s">
        <v>179</v>
      </c>
      <c r="E63" s="153" t="s">
        <v>196</v>
      </c>
      <c r="F63" s="359"/>
      <c r="G63" s="359"/>
      <c r="H63" s="153" t="s">
        <v>140</v>
      </c>
      <c r="I63" s="362"/>
    </row>
    <row r="64" spans="2:9">
      <c r="B64" s="356"/>
      <c r="C64" s="152">
        <v>44464.940972222219</v>
      </c>
      <c r="D64" s="153" t="s">
        <v>179</v>
      </c>
      <c r="E64" s="153" t="s">
        <v>197</v>
      </c>
      <c r="F64" s="359"/>
      <c r="G64" s="359"/>
      <c r="H64" s="153" t="s">
        <v>149</v>
      </c>
      <c r="I64" s="362"/>
    </row>
    <row r="65" spans="2:9" ht="17" thickBot="1">
      <c r="B65" s="357"/>
      <c r="C65" s="164">
        <v>44464.815972222219</v>
      </c>
      <c r="D65" s="154" t="s">
        <v>179</v>
      </c>
      <c r="E65" s="154" t="s">
        <v>198</v>
      </c>
      <c r="F65" s="360"/>
      <c r="G65" s="360"/>
      <c r="H65" s="154" t="s">
        <v>171</v>
      </c>
      <c r="I65" s="363"/>
    </row>
    <row r="66" spans="2:9" ht="17" thickBot="1">
      <c r="B66" s="183" t="s">
        <v>200</v>
      </c>
      <c r="C66" s="184"/>
      <c r="D66" s="184" t="s">
        <v>201</v>
      </c>
      <c r="E66" s="184" t="s">
        <v>202</v>
      </c>
      <c r="F66" s="184"/>
      <c r="G66" s="184">
        <v>486</v>
      </c>
      <c r="H66" s="184"/>
      <c r="I66" s="185">
        <v>44466.124305555553</v>
      </c>
    </row>
  </sheetData>
  <mergeCells count="36">
    <mergeCell ref="B62:B65"/>
    <mergeCell ref="F62:F65"/>
    <mergeCell ref="G62:G65"/>
    <mergeCell ref="I62:I65"/>
    <mergeCell ref="B60:B61"/>
    <mergeCell ref="F60:F61"/>
    <mergeCell ref="G60:G61"/>
    <mergeCell ref="I60:I61"/>
    <mergeCell ref="B36:B38"/>
    <mergeCell ref="F36:F38"/>
    <mergeCell ref="G36:G38"/>
    <mergeCell ref="I36:I38"/>
    <mergeCell ref="B27:B29"/>
    <mergeCell ref="F27:F29"/>
    <mergeCell ref="G27:G29"/>
    <mergeCell ref="I27:I29"/>
    <mergeCell ref="B20:B22"/>
    <mergeCell ref="F20:F22"/>
    <mergeCell ref="G20:G22"/>
    <mergeCell ref="I20:I22"/>
    <mergeCell ref="B24:B26"/>
    <mergeCell ref="F24:F26"/>
    <mergeCell ref="G24:G26"/>
    <mergeCell ref="I24:I26"/>
    <mergeCell ref="B17:B19"/>
    <mergeCell ref="F17:F19"/>
    <mergeCell ref="G17:G19"/>
    <mergeCell ref="I17:I19"/>
    <mergeCell ref="B4:B5"/>
    <mergeCell ref="F4:F5"/>
    <mergeCell ref="G4:G5"/>
    <mergeCell ref="I4:I5"/>
    <mergeCell ref="B6:B10"/>
    <mergeCell ref="F6:F10"/>
    <mergeCell ref="G6:G10"/>
    <mergeCell ref="I6:I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81</vt:i4>
      </vt:variant>
    </vt:vector>
  </HeadingPairs>
  <TitlesOfParts>
    <vt:vector size="81" baseType="lpstr">
      <vt:lpstr>5.3.2021</vt:lpstr>
      <vt:lpstr>5.10.2021</vt:lpstr>
      <vt:lpstr>5.17.2021</vt:lpstr>
      <vt:lpstr>5.24.2021</vt:lpstr>
      <vt:lpstr>5.31.2021</vt:lpstr>
      <vt:lpstr>6.7.2021</vt:lpstr>
      <vt:lpstr>6.14.2021</vt:lpstr>
      <vt:lpstr>6.21.2021</vt:lpstr>
      <vt:lpstr>6.28.2021</vt:lpstr>
      <vt:lpstr>7.5.2021</vt:lpstr>
      <vt:lpstr>7.12.2021</vt:lpstr>
      <vt:lpstr>7.19.2021</vt:lpstr>
      <vt:lpstr>7.26.2021</vt:lpstr>
      <vt:lpstr>8.02.2021</vt:lpstr>
      <vt:lpstr>8.09.2021</vt:lpstr>
      <vt:lpstr>8.17.2021</vt:lpstr>
      <vt:lpstr>8.23.2021</vt:lpstr>
      <vt:lpstr>Sheet6</vt:lpstr>
      <vt:lpstr>8.30.2021</vt:lpstr>
      <vt:lpstr>9.6.2021</vt:lpstr>
      <vt:lpstr>9.13.2021</vt:lpstr>
      <vt:lpstr>9.20.2021</vt:lpstr>
      <vt:lpstr>9.27.2021</vt:lpstr>
      <vt:lpstr>10.04.2021</vt:lpstr>
      <vt:lpstr>10.11.2021</vt:lpstr>
      <vt:lpstr>10.18.2021</vt:lpstr>
      <vt:lpstr>10.25.2021</vt:lpstr>
      <vt:lpstr>11.1.2021</vt:lpstr>
      <vt:lpstr>11.8.2021</vt:lpstr>
      <vt:lpstr>11.15.2021</vt:lpstr>
      <vt:lpstr>11.22.2021</vt:lpstr>
      <vt:lpstr>11.29.2021</vt:lpstr>
      <vt:lpstr>12.06.2021</vt:lpstr>
      <vt:lpstr>12.13.2021</vt:lpstr>
      <vt:lpstr>12.20.2021</vt:lpstr>
      <vt:lpstr>12.27.2021</vt:lpstr>
      <vt:lpstr>1.3.2022</vt:lpstr>
      <vt:lpstr>1.10.2022</vt:lpstr>
      <vt:lpstr>1.17.2022</vt:lpstr>
      <vt:lpstr>1.24.2022</vt:lpstr>
      <vt:lpstr>1.31.2021</vt:lpstr>
      <vt:lpstr>2.7.2022</vt:lpstr>
      <vt:lpstr>2.14.2022</vt:lpstr>
      <vt:lpstr>2.21.2022</vt:lpstr>
      <vt:lpstr>2.28.2022</vt:lpstr>
      <vt:lpstr>3.7.2022</vt:lpstr>
      <vt:lpstr>3.14.2022</vt:lpstr>
      <vt:lpstr>3.21.2022</vt:lpstr>
      <vt:lpstr>3.28.2022</vt:lpstr>
      <vt:lpstr>4.4.2022</vt:lpstr>
      <vt:lpstr>4.11.2022</vt:lpstr>
      <vt:lpstr>4.18.2022</vt:lpstr>
      <vt:lpstr>4.25.2022</vt:lpstr>
      <vt:lpstr>5.02.2022</vt:lpstr>
      <vt:lpstr>5.09.2022</vt:lpstr>
      <vt:lpstr>5.16.2022</vt:lpstr>
      <vt:lpstr>5.23.2022</vt:lpstr>
      <vt:lpstr>5.30.2022</vt:lpstr>
      <vt:lpstr>6.7.2022</vt:lpstr>
      <vt:lpstr>6.13.2022</vt:lpstr>
      <vt:lpstr>6.20.2022</vt:lpstr>
      <vt:lpstr>6.27.2022</vt:lpstr>
      <vt:lpstr>7.4.2022</vt:lpstr>
      <vt:lpstr>7.11.2022</vt:lpstr>
      <vt:lpstr>7.18.2022</vt:lpstr>
      <vt:lpstr>7.25.2022</vt:lpstr>
      <vt:lpstr>8.1.2022</vt:lpstr>
      <vt:lpstr>8.8.2022</vt:lpstr>
      <vt:lpstr>8.15.2022</vt:lpstr>
      <vt:lpstr>8.22.2022</vt:lpstr>
      <vt:lpstr>8.29.2022</vt:lpstr>
      <vt:lpstr>9.5.2022</vt:lpstr>
      <vt:lpstr>9.12.2022</vt:lpstr>
      <vt:lpstr>9.19.2022</vt:lpstr>
      <vt:lpstr>9.26.2022</vt:lpstr>
      <vt:lpstr>10.3.2022</vt:lpstr>
      <vt:lpstr>10.10.2022</vt:lpstr>
      <vt:lpstr>10.17.2022</vt:lpstr>
      <vt:lpstr>PlayersAgents</vt:lpstr>
      <vt:lpstr>Red Data Dump</vt:lpstr>
      <vt:lpstr>bets_9.20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2021-05-10T09:17:54Z</dcterms:created>
  <dcterms:modified xsi:type="dcterms:W3CDTF">2022-10-29T17:51:48Z</dcterms:modified>
</cp:coreProperties>
</file>